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ttps://acdivoca.sharepoint.com/sites/GrantsprocurementBishkek/Shared Documents/ECP(UPD)/Grants/Year 3/CFA/CFA Comp 1/Round 18_December 2020/Announcement/"/>
    </mc:Choice>
  </mc:AlternateContent>
  <xr:revisionPtr revIDLastSave="4" documentId="8_{86BC93CF-E258-40C0-9A95-192DB791E0BE}" xr6:coauthVersionLast="45" xr6:coauthVersionMax="45" xr10:uidLastSave="{BA11FB33-061A-4567-8B38-C853C5237286}"/>
  <bookViews>
    <workbookView xWindow="-110" yWindow="-110" windowWidth="19420" windowHeight="10420" firstSheet="2" activeTab="2" xr2:uid="{00000000-000D-0000-FFFF-FFFF00000000}"/>
  </bookViews>
  <sheets>
    <sheet name="Guidance" sheetId="2" state="hidden" r:id="rId1"/>
    <sheet name="Inputs Outputs Outcomes" sheetId="6" state="hidden" r:id="rId2"/>
    <sheet name="Бюджет" sheetId="8" r:id="rId3"/>
    <sheet name="ОДДС" sheetId="5" r:id="rId4"/>
    <sheet name="ОПУ" sheetId="4" r:id="rId5"/>
    <sheet name="БО" sheetId="3" r:id="rId6"/>
    <sheet name="Summary" sheetId="1" r:id="rId7"/>
  </sheets>
  <definedNames>
    <definedName name="_xlnm._FilterDatabase" localSheetId="5" hidden="1">БО!$A$2:$C$2</definedName>
    <definedName name="Currency">БО!$A$72:$A$73</definedName>
    <definedName name="Language">БО!$A$69:$A$70</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8" l="1"/>
  <c r="F4" i="8"/>
  <c r="D4" i="8"/>
  <c r="C35" i="3" l="1"/>
  <c r="F33" i="8" l="1"/>
  <c r="F32" i="8"/>
  <c r="F30" i="8"/>
  <c r="F29" i="8"/>
  <c r="F27" i="8"/>
  <c r="F26" i="8"/>
  <c r="F24" i="8"/>
  <c r="F23" i="8"/>
  <c r="F22" i="8"/>
  <c r="F19" i="8"/>
  <c r="F20" i="8"/>
  <c r="F18" i="8"/>
  <c r="F16" i="8"/>
  <c r="F15" i="8"/>
  <c r="F14" i="8"/>
  <c r="F13" i="8"/>
  <c r="F12" i="8"/>
  <c r="F8" i="8"/>
  <c r="F9" i="8"/>
  <c r="F10" i="8"/>
  <c r="F7" i="8"/>
  <c r="C31" i="1" l="1"/>
  <c r="C25" i="1"/>
  <c r="C19" i="1"/>
  <c r="C13" i="1"/>
  <c r="C7" i="1"/>
  <c r="C4" i="8" l="1"/>
  <c r="H31" i="8" l="1"/>
  <c r="H28" i="8"/>
  <c r="H25" i="8"/>
  <c r="H21" i="8"/>
  <c r="H17" i="8"/>
  <c r="H11" i="8"/>
  <c r="H6" i="8"/>
  <c r="H5" i="8"/>
  <c r="G5" i="8"/>
  <c r="A2" i="1"/>
  <c r="E5" i="5"/>
  <c r="A2" i="5"/>
  <c r="A2" i="3"/>
  <c r="A2" i="4"/>
  <c r="A1" i="8"/>
  <c r="M4" i="1"/>
  <c r="I4" i="1"/>
  <c r="J31" i="8"/>
  <c r="I31" i="8"/>
  <c r="G31" i="8"/>
  <c r="F31" i="8"/>
  <c r="J28" i="8"/>
  <c r="I28" i="8"/>
  <c r="G28" i="8"/>
  <c r="F28" i="8"/>
  <c r="J25" i="8"/>
  <c r="I25" i="8"/>
  <c r="G25" i="8"/>
  <c r="F25" i="8"/>
  <c r="J21" i="8"/>
  <c r="I21" i="8"/>
  <c r="G21" i="8"/>
  <c r="F21" i="8"/>
  <c r="J17" i="8"/>
  <c r="I17" i="8"/>
  <c r="G17" i="8"/>
  <c r="F17" i="8"/>
  <c r="J11" i="8"/>
  <c r="I11" i="8"/>
  <c r="G11" i="8"/>
  <c r="F11" i="8"/>
  <c r="J6" i="8"/>
  <c r="J34" i="8" s="1"/>
  <c r="M8" i="1" s="1"/>
  <c r="I6" i="8"/>
  <c r="I34" i="8" s="1"/>
  <c r="M7" i="1" s="1"/>
  <c r="G6" i="8"/>
  <c r="G34" i="8" s="1"/>
  <c r="M9" i="1" s="1"/>
  <c r="F6" i="8"/>
  <c r="F34" i="8" s="1"/>
  <c r="K4" i="8"/>
  <c r="J5" i="8"/>
  <c r="I5" i="8"/>
  <c r="I4" i="8"/>
  <c r="G4" i="8"/>
  <c r="E4" i="8"/>
  <c r="C34" i="8"/>
  <c r="C31" i="8"/>
  <c r="C28" i="8"/>
  <c r="C25" i="8"/>
  <c r="L20" i="1"/>
  <c r="L19" i="1"/>
  <c r="L18" i="1"/>
  <c r="L17" i="1"/>
  <c r="C21" i="8"/>
  <c r="C17" i="8"/>
  <c r="C11" i="8"/>
  <c r="C6" i="8"/>
  <c r="L14" i="1"/>
  <c r="J3" i="8"/>
  <c r="B2" i="8"/>
  <c r="L16" i="1"/>
  <c r="C4" i="1"/>
  <c r="C6" i="1"/>
  <c r="C12" i="1"/>
  <c r="M15" i="1" l="1"/>
  <c r="M16" i="1"/>
  <c r="M17" i="1"/>
  <c r="M18" i="1"/>
  <c r="M20" i="1"/>
  <c r="M19" i="1"/>
  <c r="H34" i="8"/>
  <c r="M10" i="1" s="1"/>
  <c r="M11" i="1" s="1"/>
  <c r="M14" i="1"/>
  <c r="L26" i="1"/>
  <c r="L25" i="1"/>
  <c r="L15" i="1"/>
  <c r="L7" i="1"/>
  <c r="L24" i="1"/>
  <c r="L13" i="1"/>
  <c r="L21" i="1"/>
  <c r="L11" i="1"/>
  <c r="L10" i="1"/>
  <c r="L9" i="1"/>
  <c r="L8" i="1"/>
  <c r="J6" i="1"/>
  <c r="J4" i="1"/>
  <c r="O24" i="1"/>
  <c r="N24" i="1"/>
  <c r="M24" i="1"/>
  <c r="M13" i="1"/>
  <c r="M6" i="1"/>
  <c r="L6" i="1"/>
  <c r="J30" i="1"/>
  <c r="I30" i="1"/>
  <c r="H30" i="1"/>
  <c r="G30" i="1"/>
  <c r="F30" i="1"/>
  <c r="E30" i="1"/>
  <c r="D30" i="1"/>
  <c r="J24" i="1"/>
  <c r="I24" i="1"/>
  <c r="H24" i="1"/>
  <c r="G24" i="1"/>
  <c r="F24" i="1"/>
  <c r="E24" i="1"/>
  <c r="D24" i="1"/>
  <c r="J18" i="1"/>
  <c r="I18" i="1"/>
  <c r="H18" i="1"/>
  <c r="G18" i="1"/>
  <c r="F18" i="1"/>
  <c r="E18" i="1"/>
  <c r="D18" i="1"/>
  <c r="J12" i="1"/>
  <c r="D12" i="1"/>
  <c r="I12" i="1"/>
  <c r="H12" i="1"/>
  <c r="G12" i="1"/>
  <c r="F12" i="1"/>
  <c r="E12" i="1"/>
  <c r="I6" i="1"/>
  <c r="H6" i="1"/>
  <c r="G6" i="1"/>
  <c r="F6" i="1"/>
  <c r="E6" i="1"/>
  <c r="D6" i="1"/>
  <c r="C30" i="1"/>
  <c r="C24" i="1"/>
  <c r="C18" i="1"/>
  <c r="C33" i="1"/>
  <c r="C34" i="1"/>
  <c r="C28" i="1"/>
  <c r="C22" i="1"/>
  <c r="C16" i="1"/>
  <c r="C10" i="1"/>
  <c r="C9" i="1"/>
  <c r="C27" i="1"/>
  <c r="C21" i="1"/>
  <c r="C15" i="1"/>
  <c r="C32" i="1"/>
  <c r="C26" i="1"/>
  <c r="C20" i="1"/>
  <c r="C14" i="1"/>
  <c r="C8" i="1"/>
  <c r="C19" i="3"/>
  <c r="B6" i="5"/>
  <c r="J7" i="1"/>
  <c r="I8" i="1"/>
  <c r="H8" i="1"/>
  <c r="G8" i="1"/>
  <c r="F8" i="1"/>
  <c r="E8" i="1"/>
  <c r="D8" i="1"/>
  <c r="D7" i="1"/>
  <c r="M21" i="1" l="1"/>
  <c r="N21" i="1" s="1"/>
  <c r="N9" i="1"/>
  <c r="N8" i="1"/>
  <c r="N10" i="1"/>
  <c r="N11" i="1"/>
  <c r="N7" i="1"/>
  <c r="N20" i="1"/>
  <c r="N14" i="1"/>
  <c r="N15" i="1"/>
  <c r="N17" i="1"/>
  <c r="N19" i="1"/>
  <c r="N16" i="1"/>
  <c r="N18" i="1"/>
  <c r="D9" i="1"/>
  <c r="D10" i="1" s="1"/>
  <c r="J8" i="1"/>
  <c r="D36" i="3"/>
  <c r="D32" i="3"/>
  <c r="B44" i="3"/>
  <c r="B26" i="3"/>
  <c r="E36" i="3"/>
  <c r="F36" i="3"/>
  <c r="G36" i="3"/>
  <c r="H36" i="3"/>
  <c r="I36" i="3"/>
  <c r="E32" i="3"/>
  <c r="F32" i="3"/>
  <c r="G32" i="3"/>
  <c r="H32" i="3"/>
  <c r="I32" i="3"/>
  <c r="D22" i="3"/>
  <c r="D13" i="3"/>
  <c r="D24" i="3" s="1"/>
  <c r="F22" i="3"/>
  <c r="G22" i="3"/>
  <c r="H22" i="3"/>
  <c r="I22" i="3"/>
  <c r="E22" i="3"/>
  <c r="F13" i="3"/>
  <c r="F24" i="3" s="1"/>
  <c r="F26" i="1" s="1"/>
  <c r="G13" i="3"/>
  <c r="H13" i="3"/>
  <c r="H24" i="3" s="1"/>
  <c r="H26" i="1" s="1"/>
  <c r="I13" i="3"/>
  <c r="E13" i="3"/>
  <c r="C24" i="4"/>
  <c r="H13" i="4"/>
  <c r="H17" i="4" s="1"/>
  <c r="H19" i="4" s="1"/>
  <c r="D9" i="4"/>
  <c r="D13" i="4" s="1"/>
  <c r="D17" i="4" s="1"/>
  <c r="D19" i="4" s="1"/>
  <c r="D21" i="4" s="1"/>
  <c r="D40" i="3" s="1"/>
  <c r="D41" i="3" s="1"/>
  <c r="D44" i="3" s="1"/>
  <c r="E42" i="5"/>
  <c r="F9" i="4"/>
  <c r="F13" i="4" s="1"/>
  <c r="F17" i="4" s="1"/>
  <c r="F19" i="4" s="1"/>
  <c r="G9" i="4"/>
  <c r="G13" i="4" s="1"/>
  <c r="G17" i="4" s="1"/>
  <c r="G19" i="4" s="1"/>
  <c r="H9" i="4"/>
  <c r="I9" i="4"/>
  <c r="I13" i="4" s="1"/>
  <c r="I17" i="4" s="1"/>
  <c r="I19" i="4" s="1"/>
  <c r="E9" i="4"/>
  <c r="E13" i="4" s="1"/>
  <c r="E17" i="4" s="1"/>
  <c r="E19" i="4" s="1"/>
  <c r="C40" i="5"/>
  <c r="E32" i="5"/>
  <c r="F32" i="5"/>
  <c r="G32" i="5"/>
  <c r="H32" i="5"/>
  <c r="I32" i="5"/>
  <c r="E28" i="5"/>
  <c r="F28" i="5"/>
  <c r="G28" i="5"/>
  <c r="G36" i="5" s="1"/>
  <c r="H28" i="5"/>
  <c r="I28" i="5"/>
  <c r="D32" i="5"/>
  <c r="D28" i="5"/>
  <c r="I22" i="5"/>
  <c r="D22" i="5"/>
  <c r="E22" i="5"/>
  <c r="F22" i="5"/>
  <c r="F26" i="5" s="1"/>
  <c r="G22" i="5"/>
  <c r="H22" i="5"/>
  <c r="D19" i="5"/>
  <c r="E19" i="5"/>
  <c r="F19" i="5"/>
  <c r="G19" i="5"/>
  <c r="G26" i="5" s="1"/>
  <c r="H19" i="5"/>
  <c r="H26" i="5" s="1"/>
  <c r="I19" i="5"/>
  <c r="I26" i="5" s="1"/>
  <c r="H11" i="5"/>
  <c r="F11" i="5"/>
  <c r="G11" i="5"/>
  <c r="I11" i="5"/>
  <c r="F8" i="5"/>
  <c r="G8" i="5"/>
  <c r="H8" i="5"/>
  <c r="I8" i="5"/>
  <c r="I17" i="5" s="1"/>
  <c r="D11" i="5"/>
  <c r="D8" i="5"/>
  <c r="F36" i="5" l="1"/>
  <c r="E26" i="5"/>
  <c r="G24" i="3"/>
  <c r="G26" i="1" s="1"/>
  <c r="D36" i="5"/>
  <c r="G17" i="5"/>
  <c r="D26" i="5"/>
  <c r="I24" i="3"/>
  <c r="I26" i="1" s="1"/>
  <c r="F17" i="5"/>
  <c r="H17" i="5"/>
  <c r="H36" i="5"/>
  <c r="E36" i="5"/>
  <c r="H20" i="1"/>
  <c r="H21" i="4"/>
  <c r="H40" i="3" s="1"/>
  <c r="H41" i="3" s="1"/>
  <c r="H24" i="4"/>
  <c r="G20" i="1"/>
  <c r="G24" i="4"/>
  <c r="G21" i="4"/>
  <c r="G40" i="3" s="1"/>
  <c r="G41" i="3" s="1"/>
  <c r="I20" i="1"/>
  <c r="I24" i="4"/>
  <c r="I21" i="4"/>
  <c r="I40" i="3" s="1"/>
  <c r="I41" i="3" s="1"/>
  <c r="F20" i="1"/>
  <c r="F24" i="4"/>
  <c r="F21" i="4"/>
  <c r="F40" i="3" s="1"/>
  <c r="F41" i="3" s="1"/>
  <c r="I23" i="4"/>
  <c r="E21" i="4"/>
  <c r="E40" i="3" s="1"/>
  <c r="E41" i="3" s="1"/>
  <c r="E20" i="1"/>
  <c r="I36" i="5"/>
  <c r="D17" i="5"/>
  <c r="D37" i="5" l="1"/>
  <c r="I32" i="1"/>
  <c r="I44" i="3"/>
  <c r="F32" i="1"/>
  <c r="F44" i="3"/>
  <c r="J20" i="1"/>
  <c r="E32" i="1"/>
  <c r="E44" i="3"/>
  <c r="G32" i="1"/>
  <c r="G44" i="3"/>
  <c r="H32" i="1"/>
  <c r="H44" i="3"/>
  <c r="C46" i="3"/>
  <c r="C40" i="3"/>
  <c r="E24" i="4"/>
  <c r="C23" i="4"/>
  <c r="C21" i="4"/>
  <c r="F42" i="5"/>
  <c r="G42" i="5"/>
  <c r="H42" i="5"/>
  <c r="I42" i="5"/>
  <c r="B37" i="5"/>
  <c r="C36" i="5"/>
  <c r="C44" i="5"/>
  <c r="C45" i="5"/>
  <c r="C43" i="5"/>
  <c r="C41" i="5"/>
  <c r="C39" i="5"/>
  <c r="F37" i="5"/>
  <c r="G37" i="5"/>
  <c r="H37" i="5"/>
  <c r="I37" i="5"/>
  <c r="B27" i="5"/>
  <c r="C29" i="5"/>
  <c r="C30" i="5"/>
  <c r="C31" i="5"/>
  <c r="C32" i="5"/>
  <c r="C33" i="5"/>
  <c r="C34" i="5"/>
  <c r="C35" i="5"/>
  <c r="C20" i="5"/>
  <c r="C21" i="5"/>
  <c r="C22" i="5"/>
  <c r="C23" i="5"/>
  <c r="C24" i="5"/>
  <c r="C25" i="5"/>
  <c r="C26" i="5"/>
  <c r="C28" i="5"/>
  <c r="C19" i="5"/>
  <c r="B18" i="5"/>
  <c r="E11" i="5"/>
  <c r="E8" i="5"/>
  <c r="E17" i="5" s="1"/>
  <c r="C12" i="5"/>
  <c r="C13" i="5"/>
  <c r="C14" i="5"/>
  <c r="C15" i="5"/>
  <c r="C16" i="5"/>
  <c r="C17" i="5"/>
  <c r="C9" i="5"/>
  <c r="C10" i="5"/>
  <c r="C11" i="5"/>
  <c r="C8" i="5"/>
  <c r="B7" i="5"/>
  <c r="E45" i="5" l="1"/>
  <c r="E44" i="5"/>
  <c r="C4" i="5" l="1"/>
  <c r="C3" i="5"/>
  <c r="E5" i="4"/>
  <c r="G23" i="4"/>
  <c r="H23" i="4"/>
  <c r="E24" i="3"/>
  <c r="C8" i="3"/>
  <c r="C20" i="4"/>
  <c r="B19" i="4"/>
  <c r="C18" i="4"/>
  <c r="B17" i="4"/>
  <c r="B13" i="4"/>
  <c r="C16" i="4"/>
  <c r="C15" i="4"/>
  <c r="C14" i="4"/>
  <c r="C10" i="4"/>
  <c r="C12" i="4"/>
  <c r="C11" i="4"/>
  <c r="B9" i="4"/>
  <c r="C8" i="4"/>
  <c r="B7" i="4"/>
  <c r="B6" i="4"/>
  <c r="C4" i="4"/>
  <c r="C3" i="4"/>
  <c r="C4" i="3"/>
  <c r="C3" i="3"/>
  <c r="B6" i="3"/>
  <c r="B24" i="3"/>
  <c r="B41" i="3"/>
  <c r="C39" i="3"/>
  <c r="B38" i="3"/>
  <c r="B36" i="3"/>
  <c r="C31" i="3"/>
  <c r="C30" i="3"/>
  <c r="C29" i="3"/>
  <c r="C28" i="3"/>
  <c r="B32" i="3"/>
  <c r="B34" i="3"/>
  <c r="B15" i="3"/>
  <c r="B27" i="3"/>
  <c r="B22" i="3"/>
  <c r="B13" i="3"/>
  <c r="C21" i="3"/>
  <c r="C20" i="3"/>
  <c r="C18" i="3"/>
  <c r="C17" i="3"/>
  <c r="C16" i="3"/>
  <c r="B7" i="3"/>
  <c r="C12" i="3"/>
  <c r="C11" i="3"/>
  <c r="C10" i="3"/>
  <c r="C9" i="3"/>
  <c r="E23" i="4" l="1"/>
  <c r="E26" i="1"/>
  <c r="E27" i="1" s="1"/>
  <c r="E28" i="1" s="1"/>
  <c r="G27" i="1"/>
  <c r="G28" i="1" s="1"/>
  <c r="F23" i="4"/>
  <c r="E46" i="3"/>
  <c r="I33" i="1"/>
  <c r="I34" i="1" s="1"/>
  <c r="H33" i="1"/>
  <c r="H34" i="1" s="1"/>
  <c r="G33" i="1"/>
  <c r="G34" i="1" s="1"/>
  <c r="F33" i="1"/>
  <c r="F34" i="1" s="1"/>
  <c r="E33" i="1"/>
  <c r="E34" i="1" s="1"/>
  <c r="J32" i="1"/>
  <c r="J31" i="1"/>
  <c r="I27" i="1"/>
  <c r="I28" i="1" s="1"/>
  <c r="H27" i="1"/>
  <c r="H28" i="1" s="1"/>
  <c r="F27" i="1"/>
  <c r="F28" i="1" s="1"/>
  <c r="I15" i="1"/>
  <c r="I16" i="1" s="1"/>
  <c r="H15" i="1"/>
  <c r="H16" i="1" s="1"/>
  <c r="G15" i="1"/>
  <c r="G16" i="1" s="1"/>
  <c r="F15" i="1"/>
  <c r="F16" i="1" s="1"/>
  <c r="E15" i="1"/>
  <c r="J14" i="1"/>
  <c r="J13" i="1"/>
  <c r="I21" i="1"/>
  <c r="I22" i="1" s="1"/>
  <c r="H21" i="1"/>
  <c r="H22" i="1" s="1"/>
  <c r="G21" i="1"/>
  <c r="G22" i="1" s="1"/>
  <c r="F21" i="1"/>
  <c r="F22" i="1" s="1"/>
  <c r="E21" i="1"/>
  <c r="E22" i="1" s="1"/>
  <c r="J19" i="1"/>
  <c r="F9" i="1"/>
  <c r="F10" i="1" s="1"/>
  <c r="G9" i="1"/>
  <c r="G10" i="1" s="1"/>
  <c r="H9" i="1"/>
  <c r="H10" i="1" s="1"/>
  <c r="I9" i="1"/>
  <c r="I10" i="1" s="1"/>
  <c r="E9" i="1"/>
  <c r="J26" i="1" l="1"/>
  <c r="E10" i="1"/>
  <c r="N25" i="1"/>
  <c r="M25" i="1"/>
  <c r="E16" i="1"/>
  <c r="M26" i="1"/>
  <c r="N26" i="1"/>
  <c r="J25" i="1"/>
  <c r="J27" i="1" s="1"/>
  <c r="J28" i="1" s="1"/>
  <c r="J9" i="1"/>
  <c r="J15" i="1"/>
  <c r="J33" i="1"/>
  <c r="J34" i="1" s="1"/>
  <c r="J21" i="1"/>
  <c r="J22" i="1" s="1"/>
  <c r="J16" i="1" l="1"/>
  <c r="O26" i="1"/>
  <c r="J10" i="1"/>
  <c r="O25" i="1"/>
  <c r="E37" i="5"/>
</calcChain>
</file>

<file path=xl/sharedStrings.xml><?xml version="1.0" encoding="utf-8"?>
<sst xmlns="http://schemas.openxmlformats.org/spreadsheetml/2006/main" count="243" uniqueCount="179">
  <si>
    <t>%</t>
  </si>
  <si>
    <t>USD</t>
  </si>
  <si>
    <r>
      <t>For management purposes</t>
    </r>
    <r>
      <rPr>
        <sz val="11"/>
        <color rgb="FF222222"/>
        <rFont val="Arial"/>
        <family val="2"/>
      </rPr>
      <t> and in a manner that more closely aligns with the management of a financial investment, USAID/Kyrgyz Republic will consider a more rigorous analysis to focus on the partners' incremental cash and in-kind contributions along with USAID's direct and indirect costs together with the projected development outcomes.</t>
    </r>
  </si>
  <si>
    <r>
      <t>For reporting purposes,</t>
    </r>
    <r>
      <rPr>
        <sz val="11"/>
        <rFont val="Arial"/>
        <family val="2"/>
      </rPr>
      <t> leverage includes anything that could be "reasonably quantified" as private sector in-kind and cash resources, including stock and operating expenses.  </t>
    </r>
  </si>
  <si>
    <r>
      <rPr>
        <b/>
        <sz val="11"/>
        <color theme="1"/>
        <rFont val="Arial"/>
        <family val="2"/>
      </rPr>
      <t>For GDA style commercial partnerships</t>
    </r>
    <r>
      <rPr>
        <sz val="11"/>
        <color theme="1"/>
        <rFont val="Arial"/>
        <family val="2"/>
      </rPr>
      <t xml:space="preserve"> USAID requests IPs to report both leverage (the total non-USAID resources mobilized by beneficiaries and other parties) and the direct contributions (cost-share/match) made by the beneficiaries themselves.  In addition, USAID requests IPs to provide other financial analysis on the projected outcomes and performance of the partnership to ensure it meets the development objectives. </t>
    </r>
  </si>
  <si>
    <t>Амортизация</t>
  </si>
  <si>
    <t>English</t>
  </si>
  <si>
    <t>Русский</t>
  </si>
  <si>
    <t xml:space="preserve">ПРИБЫЛИ И УБЫТКИ </t>
  </si>
  <si>
    <t>Финансовый год, заканчивающийся декабрем</t>
  </si>
  <si>
    <t>Нераспределенная прибыль за год</t>
  </si>
  <si>
    <t>Выручка</t>
  </si>
  <si>
    <t>Себестоимость реализации</t>
  </si>
  <si>
    <t>Валовая прибыль</t>
  </si>
  <si>
    <t>Sales</t>
  </si>
  <si>
    <t>Cost of Goods</t>
  </si>
  <si>
    <t>Gross Margin</t>
  </si>
  <si>
    <t>Заработная плата</t>
  </si>
  <si>
    <t>Wages</t>
  </si>
  <si>
    <t>Доходы и расходы по неоперационной деятельности</t>
  </si>
  <si>
    <t>Неоперационный доход</t>
  </si>
  <si>
    <t>Неоперационный расход</t>
  </si>
  <si>
    <t>Доходы (убытки) от курсовой разницы</t>
  </si>
  <si>
    <t>Depreciation</t>
  </si>
  <si>
    <t>Non-operational Income</t>
  </si>
  <si>
    <t>Non operational income</t>
  </si>
  <si>
    <t>Non-Operational expenses</t>
  </si>
  <si>
    <t>Forex Income (Losses)</t>
  </si>
  <si>
    <t>EBIT</t>
  </si>
  <si>
    <t>EBT</t>
  </si>
  <si>
    <t>Taxes</t>
  </si>
  <si>
    <t>Dividends</t>
  </si>
  <si>
    <t>Retained earnings</t>
  </si>
  <si>
    <t>Profit and Loss</t>
  </si>
  <si>
    <t>Fiscal year ending in December</t>
  </si>
  <si>
    <t>-</t>
  </si>
  <si>
    <t>Операционная прибыль</t>
  </si>
  <si>
    <t>Operational Expenditures incl.</t>
  </si>
  <si>
    <t>Прибыль до налога</t>
  </si>
  <si>
    <t>Net Income incl.</t>
  </si>
  <si>
    <t>Прибыль после налога вкл.</t>
  </si>
  <si>
    <t>Налог</t>
  </si>
  <si>
    <t>Дивиденды</t>
  </si>
  <si>
    <t>Операционные расходы вкл.</t>
  </si>
  <si>
    <t>+</t>
  </si>
  <si>
    <t>KGS</t>
  </si>
  <si>
    <t>Currency/Валюта</t>
  </si>
  <si>
    <t>CASH FLOW</t>
  </si>
  <si>
    <t>ДЕНЕЖНЫЙ ПОТОК</t>
  </si>
  <si>
    <t>Financial year ending December</t>
  </si>
  <si>
    <t>Financing</t>
  </si>
  <si>
    <t>share capital raised (grant)</t>
  </si>
  <si>
    <t>total</t>
  </si>
  <si>
    <t>dividends paid</t>
  </si>
  <si>
    <t>interest on overdraft</t>
  </si>
  <si>
    <t>interest on cash</t>
  </si>
  <si>
    <t>Increase in cash balances</t>
  </si>
  <si>
    <t>Cash receipts from</t>
  </si>
  <si>
    <t>Customers</t>
  </si>
  <si>
    <t>Other operations</t>
  </si>
  <si>
    <t>Cash paid for</t>
  </si>
  <si>
    <t>Inventory purchases</t>
  </si>
  <si>
    <t>General operating and administrative expenses</t>
  </si>
  <si>
    <t>Wage expenses</t>
  </si>
  <si>
    <t>Interest</t>
  </si>
  <si>
    <t>Income taxes</t>
  </si>
  <si>
    <t>Net Cash Flow from Operations</t>
  </si>
  <si>
    <t>Investing Activities</t>
  </si>
  <si>
    <t>Sale of property and equipment</t>
  </si>
  <si>
    <t>Collection of principal on loans</t>
  </si>
  <si>
    <t>Sale of investment securities</t>
  </si>
  <si>
    <t>Purchase of property and equipment</t>
  </si>
  <si>
    <t>Making loans to other entities</t>
  </si>
  <si>
    <t>Purchase of investment securities</t>
  </si>
  <si>
    <t>Net Cash Flow from Investing Activities</t>
  </si>
  <si>
    <t>Borrowing</t>
  </si>
  <si>
    <t>Repurchase of stock (treasury stock)</t>
  </si>
  <si>
    <t>Repayment of loans</t>
  </si>
  <si>
    <t>Net Cash Flow from Financing Activities</t>
  </si>
  <si>
    <t>полученные кредиты и займы</t>
  </si>
  <si>
    <t>Operational Activities</t>
  </si>
  <si>
    <t>Денежные поступления от</t>
  </si>
  <si>
    <t>Денежные выплаты на</t>
  </si>
  <si>
    <t>Чистые операционные денежные потоки</t>
  </si>
  <si>
    <t>Операционные потоки</t>
  </si>
  <si>
    <t>Финансовые потоки</t>
  </si>
  <si>
    <t>Денежные поступления</t>
  </si>
  <si>
    <t>Денежные выплаты</t>
  </si>
  <si>
    <t>увеличение собственного капитала</t>
  </si>
  <si>
    <t>Чистые финансовые потоки</t>
  </si>
  <si>
    <t>Инвестиционные потоки</t>
  </si>
  <si>
    <t>клиентов</t>
  </si>
  <si>
    <t>других операций</t>
  </si>
  <si>
    <t>приобретение ТМЗ</t>
  </si>
  <si>
    <t>административные расходы (выплаты)</t>
  </si>
  <si>
    <t>заработная плата (выплаты)</t>
  </si>
  <si>
    <t>проценты выплаченные</t>
  </si>
  <si>
    <t>налоги оплаченные</t>
  </si>
  <si>
    <t>выкуп доли в учредительном капитале</t>
  </si>
  <si>
    <t>выплаты кредитов и займов</t>
  </si>
  <si>
    <t>выплата дивидендов</t>
  </si>
  <si>
    <t>продажа оборудования и осовных активов</t>
  </si>
  <si>
    <t>возврат выданных кредитов</t>
  </si>
  <si>
    <t>продажа инвестиционных активов</t>
  </si>
  <si>
    <t>приобретение оборудования и основных активов</t>
  </si>
  <si>
    <t>займы и кредиты другим организациям</t>
  </si>
  <si>
    <t>приобретение инвестиционных активов</t>
  </si>
  <si>
    <t>Чистые инвестиционные потоки</t>
  </si>
  <si>
    <t>CAPEX</t>
  </si>
  <si>
    <t>Капитальные расходы</t>
  </si>
  <si>
    <t>Дополнительный оборотный капитал</t>
  </si>
  <si>
    <t>Дополнительные продажи</t>
  </si>
  <si>
    <t>Incremental Sales</t>
  </si>
  <si>
    <t>Всего денежные потоки без инвестиций</t>
  </si>
  <si>
    <t>Total Cash Flow without Capex</t>
  </si>
  <si>
    <t>Discount rate</t>
  </si>
  <si>
    <t>Ставка дисконтирования</t>
  </si>
  <si>
    <t>Net CF from CAPEX</t>
  </si>
  <si>
    <t>Чистые денежные потоки от инвестиций</t>
  </si>
  <si>
    <t>ROA</t>
  </si>
  <si>
    <t>Возратность на активы</t>
  </si>
  <si>
    <t>Рентабельность</t>
  </si>
  <si>
    <t>Inputs</t>
  </si>
  <si>
    <t>Outputs</t>
  </si>
  <si>
    <t>Outcomes</t>
  </si>
  <si>
    <t>TA</t>
  </si>
  <si>
    <t>Increased quality control</t>
  </si>
  <si>
    <t>Increased sales</t>
  </si>
  <si>
    <t>Existing PP&amp;E</t>
  </si>
  <si>
    <t>Higher quality products</t>
  </si>
  <si>
    <t>New PP&amp;E</t>
  </si>
  <si>
    <t>Expanded capacity</t>
  </si>
  <si>
    <t>New products</t>
  </si>
  <si>
    <t>Raw Materials</t>
  </si>
  <si>
    <t>New Production Facilities</t>
  </si>
  <si>
    <t>New markets</t>
  </si>
  <si>
    <t>Existing Land</t>
  </si>
  <si>
    <t>New investment</t>
  </si>
  <si>
    <t>Increased jobs</t>
  </si>
  <si>
    <t>New Land</t>
  </si>
  <si>
    <t>Improved packaging</t>
  </si>
  <si>
    <t>Renovations</t>
  </si>
  <si>
    <t>Loans extended</t>
  </si>
  <si>
    <t>Installation</t>
  </si>
  <si>
    <t>New financial products developed or deployed</t>
  </si>
  <si>
    <t>Training</t>
  </si>
  <si>
    <t>Improved capacity</t>
  </si>
  <si>
    <t>Other inputs</t>
  </si>
  <si>
    <t>Sources</t>
  </si>
  <si>
    <t>USAID Project Funds</t>
  </si>
  <si>
    <t>Banks/MFIs</t>
  </si>
  <si>
    <t>Lead firms</t>
  </si>
  <si>
    <t>Third parties</t>
  </si>
  <si>
    <t>Beneficiaries</t>
  </si>
  <si>
    <t>Increased wages paid</t>
  </si>
  <si>
    <t>NBFIs</t>
  </si>
  <si>
    <t xml:space="preserve">Outcomes are the longer term desired result of the project outputs and activities. </t>
  </si>
  <si>
    <r>
      <t>Treatment of ongoing operating expenses </t>
    </r>
    <r>
      <rPr>
        <sz val="11"/>
        <color rgb="FF222222"/>
        <rFont val="Arial"/>
        <family val="2"/>
      </rPr>
      <t>including procurement of raw materials and other inputs.   Initial operating expenses of the partnership including salaries, utilities, raw materials, packaging or other consumables, may be included in the contribution or leverage calculations, but only to the extent that they are directly required by the partnership and not beyond the intial contribution.  Operating expenses related to the site preparation, facility construction or renovation equipment transportation, installation and testing should be considered as contribution or leverage since they would normally be capitalized under IFRS.  An initial purchase of specialized raw materials, packaging or other consumables purchased for the implementation of the partnership could be included in the leverage or contribution calculations.  Subsequent purchases of raw materials, packaging or other materials, payment of wages or other operating expenses paid from sales or revenues of the enterprise should not be continually counted, only the initial expenditures necessary to commence operations.</t>
    </r>
  </si>
  <si>
    <r>
      <t>Cost share</t>
    </r>
    <r>
      <rPr>
        <sz val="11"/>
        <color rgb="FF212721"/>
        <rFont val="Arial"/>
        <family val="2"/>
      </rPr>
      <t xml:space="preserve">: Also known as "match" refers to that portion of a project or program costs not borne by the Federal Government and is normally </t>
    </r>
    <r>
      <rPr>
        <b/>
        <sz val="11"/>
        <color rgb="FF212721"/>
        <rFont val="Arial"/>
        <family val="2"/>
      </rPr>
      <t>associated with contributions from the prime and sub-recipient sources that receive USAID funds.</t>
    </r>
    <r>
      <rPr>
        <sz val="11"/>
        <color rgb="FF212721"/>
        <rFont val="Arial"/>
        <family val="2"/>
      </rPr>
      <t xml:space="preserve">  </t>
    </r>
    <r>
      <rPr>
        <sz val="11"/>
        <color rgb="FF222222"/>
        <rFont val="Arial"/>
        <family val="2"/>
      </rPr>
      <t>Cost share includes cash, in-kind assets (land, property, equipment, spare parts and consumables), installation or startup costs and technical services provided directly by the partner organization necessary for implementation of the project.  These assets or expenses are directly related or necessary for implementation of the partnership and would not be procured or provided in absence of the partnership or in the absence of USAID support.  </t>
    </r>
    <r>
      <rPr>
        <sz val="11"/>
        <color rgb="FF212721"/>
        <rFont val="Arial"/>
        <family val="2"/>
      </rPr>
      <t>Leverage could also refer to that portion of a project or program costs not borne by the Federal Government, but in the GDA context it is normally associated with the contributions of resource partners that are not receiving USAID funds (see point iii above). Cost share, which must be verifiable from the recipient's records, is subject to the requirements of 22 CFR 226.23 and is subject to audit.  ADS 303.3.10 (see attached) provides additional information about cost share and leverage </t>
    </r>
    <r>
      <rPr>
        <u/>
        <sz val="11"/>
        <color rgb="FF212721"/>
        <rFont val="Arial"/>
        <family val="2"/>
      </rPr>
      <t>under assistance instruments.</t>
    </r>
  </si>
  <si>
    <t>Inputs are the resources contributed  by the USAID project, local partners and beneficiaries to implement the partnership.  It is important to quantify both the type (personnel, financial, material, or intangible) and value as well as the source and destination of the input.   In order for contributed resources to be counted as leverage, whether new or existing, they must be necessary for the partnership and their value and actual use in the partnership must be verified.</t>
  </si>
  <si>
    <t>Working or investment capital</t>
  </si>
  <si>
    <t>Outputs are the result of the inputs used to implement the partnership and should not be confused with outcomes.   Outputs may be thought of as the first level of results from the activity where the inputs were used, but not the final desired outcome or result.   Outputs may be either tangible or intangible.</t>
  </si>
  <si>
    <r>
      <t>Leverage: </t>
    </r>
    <r>
      <rPr>
        <sz val="11"/>
        <color rgb="FF212721"/>
        <rFont val="Arial"/>
        <family val="2"/>
      </rPr>
      <t>Per the Acquisition &amp; Assistance Policy Directive (AAPD) 4-16, leverage is defined as the total value of in-kind and cash </t>
    </r>
    <r>
      <rPr>
        <b/>
        <sz val="11"/>
        <color rgb="FF212721"/>
        <rFont val="Arial"/>
        <family val="2"/>
      </rPr>
      <t>resources brought by the private sector</t>
    </r>
    <r>
      <rPr>
        <b/>
        <sz val="11"/>
        <color rgb="FF222222"/>
        <rFont val="Arial"/>
        <family val="2"/>
      </rPr>
      <t> </t>
    </r>
    <r>
      <rPr>
        <b/>
        <sz val="11"/>
        <color rgb="FF212721"/>
        <rFont val="Arial"/>
        <family val="2"/>
      </rPr>
      <t xml:space="preserve">and other non-traditional USAID partners to a partnership.  Leverage must count only new, additional and incremental contributions of resources.  </t>
    </r>
    <r>
      <rPr>
        <sz val="11"/>
        <color rgb="FF212721"/>
        <rFont val="Arial"/>
        <family val="2"/>
      </rPr>
      <t> Leverage is not cost share and it cannot be audited although it must be verfiied post-fact to ensure it was actually provided and to verify the value of the contribution.  Levearge includes anything of value that can be measured including; i) financial contributions; ii) third party contributions; iii) services or property  iv) and/or intellectual property. Additional guidance for leverage includes: i) leverage is an input, or contribution not the ouput or outcome of the partnership; ii) generally, numerous small contributions are not leverage; iii) generally, traditional USAID beneficiaries are not considered resource partners.  Note: USAID/Kyrgyz Republic is applying a broader interpretation by considering private capital leveraged from SME beneficiaries as leverage. </t>
    </r>
  </si>
  <si>
    <t>*Thousand Kyrgyz Soms, unless otherwise stated</t>
  </si>
  <si>
    <t>*Тысячи Сом, если не указано иное</t>
  </si>
  <si>
    <t>Incremental Working Capital</t>
  </si>
  <si>
    <t>NPV (Net Present Value)</t>
  </si>
  <si>
    <t>ЧПС (Чистая Привиденная Стоимость)</t>
  </si>
  <si>
    <t>IRR (Internal Rate of Return)</t>
  </si>
  <si>
    <t>IRR (Внутренняя норма доходности)</t>
  </si>
  <si>
    <t xml:space="preserve">Year/Год 0 </t>
  </si>
  <si>
    <t>Year/Год 1</t>
  </si>
  <si>
    <t>Year/Год 2</t>
  </si>
  <si>
    <t>Year/Год 3</t>
  </si>
  <si>
    <t>Year/Год 4</t>
  </si>
  <si>
    <t>Year/Год 5</t>
  </si>
  <si>
    <t xml:space="preserve"> </t>
  </si>
  <si>
    <t>Net Profit Margin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</si>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</sst>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3" formatCode="_(* #,##0.00_);_(* \(#,##0.00\);_(* &quot;-&quot;??_);_(@_)"/>
    <numFmt numFmtId="164" formatCode="_(* #,##0_);_(* \(#,##0\);_(* &quot;-&quot;??_);_(@_)"/>
    <numFmt numFmtId="165" formatCode="0.0%"/>
    <numFmt numFmtId="166" formatCode="_(* #,##0.0000_);_(* \(#,##0.0000\);_(* &quot;-&quot;??_);_(@_)"/>
    <numFmt numFmtId="167" formatCode="_(* #,##0.0000_);_(* \(#,##0.0000\);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212721"/>
      <name val="Arial"/>
      <family val="2"/>
    </font>
    <font>
      <sz val="11"/>
      <color rgb="FF212721"/>
      <name val="Arial"/>
      <family val="2"/>
    </font>
    <font>
      <b/>
      <sz val="11"/>
      <color rgb="FF222222"/>
      <name val="Arial"/>
      <family val="2"/>
    </font>
    <font>
      <sz val="11"/>
      <color rgb="FF222222"/>
      <name val="Arial"/>
      <family val="2"/>
    </font>
    <font>
      <u/>
      <sz val="11"/>
      <color rgb="FF212721"/>
      <name val="Arial"/>
      <family val="2"/>
    </font>
    <font>
      <u/>
      <sz val="11"/>
      <color rgb="FF222222"/>
      <name val="Arial"/>
      <family val="2"/>
    </font>
    <font>
      <u/>
      <sz val="11"/>
      <name val="Arial"/>
      <family val="2"/>
    </font>
    <font>
      <sz val="11"/>
      <name val="Arial"/>
      <family val="2"/>
    </font>
    <font>
      <sz val="11"/>
      <color rgb="FF500050"/>
      <name val="Arial"/>
      <family val="2"/>
    </font>
    <font>
      <sz val="11"/>
      <color theme="1"/>
      <name val="Arial"/>
      <family val="2"/>
    </font>
    <font>
      <b/>
      <sz val="11"/>
      <color theme="1"/>
      <name val="Arial"/>
      <family val="2"/>
    </font>
    <font>
      <b/>
      <sz val="10"/>
      <color rgb="FFFF0000"/>
      <name val="Arial"/>
      <family val="2"/>
    </font>
    <font>
      <sz val="10"/>
      <color rgb="FFFF0000"/>
      <name val="Arial"/>
      <family val="2"/>
    </font>
    <font>
      <b/>
      <sz val="10"/>
      <name val="Arial"/>
      <family val="2"/>
    </font>
    <font>
      <sz val="10"/>
      <name val="Arial"/>
      <family val="2"/>
    </font>
    <font>
      <sz val="10"/>
      <name val="Calibri"/>
      <family val="2"/>
      <scheme val="minor"/>
    </font>
    <font>
      <sz val="12"/>
      <name val="Calibri"/>
      <family val="2"/>
      <scheme val="minor"/>
    </font>
    <font>
      <sz val="11"/>
      <name val="Cambria"/>
      <family val="2"/>
      <scheme val="major"/>
    </font>
    <font>
      <sz val="14"/>
      <name val="Cambria"/>
      <family val="2"/>
      <scheme val="major"/>
    </font>
    <font>
      <b/>
      <sz val="11"/>
      <color rgb="FF000000"/>
      <name val="Cambria"/>
      <family val="2"/>
      <scheme val="major"/>
    </font>
    <font>
      <b/>
      <sz val="11"/>
      <color theme="1"/>
      <name val="Cambria"/>
      <family val="2"/>
      <scheme val="major"/>
    </font>
    <font>
      <sz val="12"/>
      <color rgb="FF000000"/>
      <name val="Cambria"/>
      <family val="2"/>
      <scheme val="major"/>
    </font>
    <font>
      <b/>
      <sz val="11"/>
      <color indexed="63"/>
      <name val="Cambria"/>
      <family val="2"/>
      <scheme val="major"/>
    </font>
    <font>
      <sz val="11"/>
      <color rgb="FF000000"/>
      <name val="Cambria"/>
      <family val="2"/>
      <scheme val="major"/>
    </font>
    <font>
      <sz val="11"/>
      <color rgb="FF000000"/>
      <name val="Cambria"/>
      <family val="1"/>
      <scheme val="major"/>
    </font>
    <font>
      <sz val="12"/>
      <color rgb="FF000000"/>
      <name val="Cambria"/>
      <family val="1"/>
      <scheme val="major"/>
    </font>
    <font>
      <sz val="11"/>
      <color indexed="63"/>
      <name val="Cambria"/>
      <family val="1"/>
      <scheme val="major"/>
    </font>
    <font>
      <sz val="11"/>
      <name val="Cambria"/>
      <family val="1"/>
      <scheme val="major"/>
    </font>
    <font>
      <b/>
      <sz val="12"/>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diagonal/>
    </border>
    <border>
      <left style="double">
        <color auto="1"/>
      </left>
      <right style="thin">
        <color auto="1"/>
      </right>
      <top/>
      <bottom/>
      <diagonal/>
    </border>
    <border>
      <left style="hair">
        <color auto="1"/>
      </left>
      <right style="hair">
        <color auto="1"/>
      </right>
      <top style="hair">
        <color auto="1"/>
      </top>
      <bottom style="hair">
        <color auto="1"/>
      </bottom>
      <diagonal/>
    </border>
    <border>
      <left style="double">
        <color auto="1"/>
      </left>
      <right style="thin">
        <color auto="1"/>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thin">
        <color auto="1"/>
      </right>
      <top/>
      <bottom style="thin">
        <color auto="1"/>
      </bottom>
      <diagonal/>
    </border>
    <border>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3" fontId="11" fillId="0" borderId="0" applyFont="0" applyFill="0" applyBorder="0" applyAlignment="0" applyProtection="0"/>
  </cellStyleXfs>
  <cellXfs count="206">
    <xf numFmtId="0" fontId="0" fillId="0" borderId="0" xfId="0"/>
    <xf numFmtId="164" fontId="0" fillId="0" borderId="0" xfId="1" applyNumberFormat="1" applyFont="1"/>
    <xf numFmtId="0" fontId="0" fillId="0" borderId="0" xfId="0" applyFill="1"/>
    <xf numFmtId="0" fontId="2" fillId="0" borderId="1" xfId="0" applyFont="1" applyBorder="1"/>
    <xf numFmtId="0" fontId="0" fillId="0" borderId="4" xfId="0" applyBorder="1" applyAlignment="1">
      <alignment horizontal="left" indent="2"/>
    </xf>
    <xf numFmtId="164" fontId="0" fillId="2" borderId="0" xfId="1" applyNumberFormat="1" applyFont="1" applyFill="1" applyBorder="1"/>
    <xf numFmtId="164" fontId="0" fillId="0" borderId="0" xfId="1" applyNumberFormat="1" applyFont="1" applyBorder="1"/>
    <xf numFmtId="164" fontId="0" fillId="0" borderId="5" xfId="1" applyNumberFormat="1" applyFont="1" applyBorder="1"/>
    <xf numFmtId="0" fontId="0" fillId="0" borderId="6" xfId="0" applyBorder="1" applyAlignment="1">
      <alignment horizontal="left" indent="2"/>
    </xf>
    <xf numFmtId="0" fontId="0" fillId="2" borderId="7" xfId="0" applyFill="1" applyBorder="1"/>
    <xf numFmtId="0" fontId="0" fillId="0" borderId="7" xfId="0" applyBorder="1"/>
    <xf numFmtId="0" fontId="0" fillId="0" borderId="8" xfId="0" applyBorder="1"/>
    <xf numFmtId="0" fontId="2" fillId="4" borderId="1" xfId="0" applyFont="1" applyFill="1" applyBorder="1" applyAlignment="1">
      <alignment horizontal="left"/>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left" indent="2"/>
    </xf>
    <xf numFmtId="164" fontId="0" fillId="4" borderId="0" xfId="1" applyNumberFormat="1" applyFont="1" applyFill="1" applyBorder="1"/>
    <xf numFmtId="164" fontId="0" fillId="4" borderId="5" xfId="1" applyNumberFormat="1" applyFont="1" applyFill="1" applyBorder="1"/>
    <xf numFmtId="0" fontId="2" fillId="3" borderId="1" xfId="0" applyFont="1" applyFill="1" applyBorder="1"/>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left" indent="2"/>
    </xf>
    <xf numFmtId="164" fontId="0" fillId="3" borderId="0" xfId="1" applyNumberFormat="1" applyFont="1" applyFill="1" applyBorder="1"/>
    <xf numFmtId="164" fontId="0" fillId="3" borderId="5" xfId="1" applyNumberFormat="1" applyFont="1" applyFill="1" applyBorder="1"/>
    <xf numFmtId="0" fontId="2" fillId="0" borderId="1" xfId="0" applyFont="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0" fillId="6" borderId="4" xfId="0" applyFill="1" applyBorder="1" applyAlignment="1">
      <alignment horizontal="left" indent="2"/>
    </xf>
    <xf numFmtId="0" fontId="0" fillId="6" borderId="5" xfId="0" applyNumberFormat="1" applyFill="1" applyBorder="1"/>
    <xf numFmtId="164" fontId="2" fillId="0" borderId="7" xfId="1" applyNumberFormat="1" applyFont="1" applyBorder="1"/>
    <xf numFmtId="164" fontId="2" fillId="0" borderId="8" xfId="0" applyNumberFormat="1" applyFont="1" applyBorder="1"/>
    <xf numFmtId="0" fontId="0" fillId="5" borderId="4" xfId="0" applyFill="1" applyBorder="1" applyAlignment="1">
      <alignment horizontal="left" indent="2"/>
    </xf>
    <xf numFmtId="164" fontId="0" fillId="5" borderId="0" xfId="1" applyNumberFormat="1" applyFont="1" applyFill="1" applyBorder="1"/>
    <xf numFmtId="0" fontId="0" fillId="5" borderId="5" xfId="0" applyNumberFormat="1" applyFill="1" applyBorder="1"/>
    <xf numFmtId="0" fontId="2" fillId="0" borderId="6" xfId="0" applyFont="1" applyBorder="1"/>
    <xf numFmtId="0" fontId="0" fillId="3" borderId="0" xfId="0" applyNumberFormat="1" applyFill="1" applyBorder="1"/>
    <xf numFmtId="0" fontId="0" fillId="4" borderId="6" xfId="0" applyFill="1" applyBorder="1" applyAlignment="1">
      <alignment horizontal="left" indent="2"/>
    </xf>
    <xf numFmtId="0" fontId="0" fillId="4" borderId="7" xfId="0" applyNumberFormat="1" applyFill="1" applyBorder="1"/>
    <xf numFmtId="0" fontId="0" fillId="4" borderId="8" xfId="0" applyNumberFormat="1" applyFill="1" applyBorder="1"/>
    <xf numFmtId="0" fontId="3" fillId="0" borderId="0" xfId="0" applyFont="1"/>
    <xf numFmtId="0" fontId="0" fillId="7" borderId="4" xfId="0" applyFill="1" applyBorder="1" applyAlignment="1">
      <alignment horizontal="left" indent="2"/>
    </xf>
    <xf numFmtId="164" fontId="0" fillId="7" borderId="0" xfId="1" applyNumberFormat="1" applyFont="1" applyFill="1" applyBorder="1"/>
    <xf numFmtId="164" fontId="0" fillId="7" borderId="5" xfId="1" applyNumberFormat="1" applyFont="1" applyFill="1" applyBorder="1"/>
    <xf numFmtId="164" fontId="0" fillId="5" borderId="5" xfId="1" applyNumberFormat="1" applyFont="1" applyFill="1" applyBorder="1"/>
    <xf numFmtId="0" fontId="0" fillId="8" borderId="4" xfId="0" applyFill="1" applyBorder="1" applyAlignment="1">
      <alignment horizontal="left" indent="2"/>
    </xf>
    <xf numFmtId="164" fontId="0" fillId="8" borderId="0" xfId="1" applyNumberFormat="1" applyFont="1" applyFill="1" applyBorder="1"/>
    <xf numFmtId="164" fontId="0" fillId="8" borderId="5" xfId="1" applyNumberFormat="1" applyFont="1" applyFill="1" applyBorder="1"/>
    <xf numFmtId="0" fontId="2" fillId="5" borderId="1" xfId="0" applyFont="1" applyFill="1" applyBorder="1" applyAlignment="1">
      <alignment horizontal="left"/>
    </xf>
    <xf numFmtId="0" fontId="0" fillId="5" borderId="2" xfId="0" applyFill="1" applyBorder="1" applyAlignment="1">
      <alignment horizontal="center"/>
    </xf>
    <xf numFmtId="0" fontId="0" fillId="5" borderId="3" xfId="0" applyFill="1" applyBorder="1" applyAlignment="1">
      <alignment horizontal="center"/>
    </xf>
    <xf numFmtId="0" fontId="2" fillId="7" borderId="1" xfId="0" applyFont="1" applyFill="1" applyBorder="1"/>
    <xf numFmtId="0" fontId="0" fillId="7" borderId="2" xfId="0" applyFill="1" applyBorder="1" applyAlignment="1">
      <alignment horizontal="center"/>
    </xf>
    <xf numFmtId="0" fontId="0" fillId="7" borderId="3" xfId="0" applyFill="1" applyBorder="1" applyAlignment="1">
      <alignment horizontal="center"/>
    </xf>
    <xf numFmtId="0" fontId="2" fillId="8" borderId="1" xfId="0" applyFont="1" applyFill="1" applyBorder="1"/>
    <xf numFmtId="0" fontId="0" fillId="8" borderId="2" xfId="0" applyFill="1" applyBorder="1" applyAlignment="1">
      <alignment horizontal="center"/>
    </xf>
    <xf numFmtId="0" fontId="0" fillId="8" borderId="3" xfId="0" applyFill="1" applyBorder="1" applyAlignment="1">
      <alignment horizontal="center"/>
    </xf>
    <xf numFmtId="0" fontId="0" fillId="0" borderId="0" xfId="0" applyAlignment="1">
      <alignment wrapText="1"/>
    </xf>
    <xf numFmtId="0" fontId="4" fillId="0" borderId="0" xfId="0" applyFont="1" applyAlignment="1">
      <alignment vertical="center" wrapText="1"/>
    </xf>
    <xf numFmtId="0" fontId="0" fillId="0" borderId="0" xfId="0" applyFont="1" applyAlignment="1">
      <alignment wrapText="1"/>
    </xf>
    <xf numFmtId="0" fontId="9"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3" fontId="15" fillId="0" borderId="22" xfId="0" applyNumberFormat="1" applyFont="1" applyBorder="1"/>
    <xf numFmtId="1" fontId="15" fillId="0" borderId="23" xfId="0" applyNumberFormat="1" applyFont="1" applyFill="1" applyBorder="1"/>
    <xf numFmtId="3" fontId="16" fillId="0" borderId="24" xfId="0" applyNumberFormat="1" applyFont="1" applyBorder="1"/>
    <xf numFmtId="3" fontId="16" fillId="0" borderId="24" xfId="0" applyNumberFormat="1" applyFont="1" applyFill="1" applyBorder="1"/>
    <xf numFmtId="3" fontId="16" fillId="0" borderId="25" xfId="0" applyNumberFormat="1" applyFont="1" applyFill="1" applyBorder="1"/>
    <xf numFmtId="0" fontId="0" fillId="0" borderId="0" xfId="0" applyBorder="1"/>
    <xf numFmtId="3" fontId="16" fillId="0" borderId="0" xfId="0" applyNumberFormat="1" applyFont="1" applyFill="1" applyBorder="1"/>
    <xf numFmtId="0" fontId="0" fillId="0" borderId="14" xfId="0" applyBorder="1" applyAlignment="1">
      <alignment horizontal="right"/>
    </xf>
    <xf numFmtId="0" fontId="0" fillId="0" borderId="0" xfId="0" applyAlignment="1">
      <alignment horizontal="right"/>
    </xf>
    <xf numFmtId="0" fontId="0" fillId="0" borderId="9"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26" xfId="0" applyBorder="1"/>
    <xf numFmtId="0" fontId="0" fillId="0" borderId="32" xfId="0" applyBorder="1"/>
    <xf numFmtId="3" fontId="17" fillId="0" borderId="22" xfId="0" applyNumberFormat="1" applyFont="1" applyFill="1" applyBorder="1"/>
    <xf numFmtId="3" fontId="15" fillId="0" borderId="22" xfId="0" applyNumberFormat="1" applyFont="1" applyFill="1" applyBorder="1"/>
    <xf numFmtId="3" fontId="18" fillId="0" borderId="0" xfId="0" applyNumberFormat="1" applyFont="1" applyFill="1"/>
    <xf numFmtId="1" fontId="17" fillId="0" borderId="23" xfId="0" applyNumberFormat="1" applyFont="1" applyFill="1" applyBorder="1"/>
    <xf numFmtId="1" fontId="17" fillId="0" borderId="10" xfId="0" applyNumberFormat="1" applyFont="1" applyFill="1" applyBorder="1"/>
    <xf numFmtId="3" fontId="18" fillId="0" borderId="24" xfId="0" applyNumberFormat="1" applyFont="1" applyFill="1" applyBorder="1"/>
    <xf numFmtId="3" fontId="18" fillId="0" borderId="0" xfId="0" applyNumberFormat="1" applyFont="1" applyFill="1" applyBorder="1"/>
    <xf numFmtId="3" fontId="18" fillId="0" borderId="0" xfId="0" applyNumberFormat="1" applyFont="1" applyFill="1" applyBorder="1" applyAlignment="1">
      <alignment horizontal="left" indent="1"/>
    </xf>
    <xf numFmtId="3" fontId="16" fillId="0" borderId="0" xfId="0" applyNumberFormat="1" applyFont="1" applyFill="1" applyBorder="1" applyAlignment="1">
      <alignment horizontal="left" indent="1"/>
    </xf>
    <xf numFmtId="0" fontId="19" fillId="0" borderId="0" xfId="0" applyFont="1" applyAlignment="1" applyProtection="1">
      <alignment vertical="center"/>
      <protection locked="0"/>
    </xf>
    <xf numFmtId="0" fontId="20" fillId="9" borderId="0" xfId="0" applyFont="1" applyFill="1" applyAlignment="1" applyProtection="1">
      <alignment vertical="center"/>
      <protection locked="0"/>
    </xf>
    <xf numFmtId="3" fontId="15" fillId="0" borderId="24" xfId="0" applyNumberFormat="1" applyFont="1" applyFill="1" applyBorder="1"/>
    <xf numFmtId="3" fontId="17" fillId="0" borderId="24" xfId="0" applyNumberFormat="1" applyFont="1" applyFill="1" applyBorder="1"/>
    <xf numFmtId="3" fontId="16" fillId="0" borderId="0" xfId="0" applyNumberFormat="1" applyFont="1" applyFill="1" applyBorder="1" applyAlignment="1">
      <alignment horizontal="left"/>
    </xf>
    <xf numFmtId="0" fontId="18" fillId="0" borderId="0" xfId="0" applyFont="1" applyAlignment="1">
      <alignment horizontal="left" vertical="center" indent="1"/>
    </xf>
    <xf numFmtId="3" fontId="16" fillId="0" borderId="24" xfId="0" applyNumberFormat="1" applyFont="1" applyFill="1" applyBorder="1" applyAlignment="1">
      <alignment horizontal="left" indent="1"/>
    </xf>
    <xf numFmtId="0" fontId="19" fillId="0" borderId="0" xfId="0" applyFont="1" applyAlignment="1" applyProtection="1">
      <alignment horizontal="left" vertical="center" indent="1"/>
      <protection locked="0"/>
    </xf>
    <xf numFmtId="3" fontId="16" fillId="0" borderId="24" xfId="0" applyNumberFormat="1" applyFont="1" applyFill="1" applyBorder="1" applyAlignment="1">
      <alignment horizontal="left"/>
    </xf>
    <xf numFmtId="3" fontId="16" fillId="0" borderId="0" xfId="0" applyNumberFormat="1" applyFont="1" applyFill="1" applyBorder="1" applyAlignment="1">
      <alignment horizontal="left" indent="2"/>
    </xf>
    <xf numFmtId="0" fontId="0" fillId="0" borderId="14" xfId="0" applyBorder="1" applyAlignment="1">
      <alignment horizontal="right" wrapText="1"/>
    </xf>
    <xf numFmtId="0" fontId="0" fillId="0" borderId="14" xfId="0" applyBorder="1" applyAlignment="1">
      <alignment horizontal="left"/>
    </xf>
    <xf numFmtId="0" fontId="18" fillId="0" borderId="14" xfId="0" applyFont="1" applyBorder="1" applyAlignment="1">
      <alignment horizontal="right" vertical="center"/>
    </xf>
    <xf numFmtId="0" fontId="2" fillId="0" borderId="34" xfId="0" applyFont="1" applyFill="1" applyBorder="1" applyAlignment="1">
      <alignment horizontal="left"/>
    </xf>
    <xf numFmtId="0" fontId="2" fillId="0" borderId="0" xfId="0" applyFont="1"/>
    <xf numFmtId="9" fontId="0" fillId="0" borderId="0" xfId="2" applyFont="1"/>
    <xf numFmtId="0" fontId="0" fillId="10" borderId="35" xfId="0" applyFill="1" applyBorder="1"/>
    <xf numFmtId="165" fontId="0" fillId="10" borderId="35" xfId="2" applyNumberFormat="1" applyFont="1" applyFill="1" applyBorder="1"/>
    <xf numFmtId="0" fontId="0" fillId="0" borderId="0" xfId="0" applyAlignment="1">
      <alignment horizontal="left" indent="1"/>
    </xf>
    <xf numFmtId="0" fontId="0" fillId="0" borderId="0" xfId="0" applyAlignment="1">
      <alignment horizontal="left" wrapText="1" indent="1"/>
    </xf>
    <xf numFmtId="0" fontId="2" fillId="0" borderId="0" xfId="0" applyFont="1" applyAlignment="1">
      <alignment wrapText="1"/>
    </xf>
    <xf numFmtId="0" fontId="2" fillId="0" borderId="6" xfId="0" applyFont="1" applyBorder="1" applyAlignment="1">
      <alignment horizontal="center" wrapText="1"/>
    </xf>
    <xf numFmtId="0" fontId="0" fillId="0" borderId="21" xfId="0" applyBorder="1" applyAlignment="1">
      <alignment horizontal="left" wrapText="1"/>
    </xf>
    <xf numFmtId="0" fontId="0" fillId="0" borderId="12" xfId="0" applyBorder="1" applyAlignment="1">
      <alignment wrapText="1"/>
    </xf>
    <xf numFmtId="0" fontId="0" fillId="0" borderId="15" xfId="0" applyBorder="1" applyAlignment="1">
      <alignment wrapText="1"/>
    </xf>
    <xf numFmtId="0" fontId="2" fillId="0" borderId="36" xfId="0" applyFont="1" applyFill="1" applyBorder="1" applyAlignment="1">
      <alignment horizontal="left"/>
    </xf>
    <xf numFmtId="0" fontId="2" fillId="0" borderId="31" xfId="0" applyFont="1" applyBorder="1"/>
    <xf numFmtId="0" fontId="2" fillId="0" borderId="37" xfId="0" applyFont="1" applyBorder="1"/>
    <xf numFmtId="0" fontId="2" fillId="0" borderId="38" xfId="0" applyFont="1" applyBorder="1"/>
    <xf numFmtId="0" fontId="0" fillId="0" borderId="39" xfId="0" applyBorder="1"/>
    <xf numFmtId="0" fontId="0" fillId="0" borderId="33"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37" xfId="0" applyBorder="1"/>
    <xf numFmtId="0" fontId="0" fillId="0" borderId="38" xfId="0" applyBorder="1"/>
    <xf numFmtId="0" fontId="0" fillId="10" borderId="44" xfId="0" applyFill="1" applyBorder="1"/>
    <xf numFmtId="8" fontId="0" fillId="10" borderId="45" xfId="0" applyNumberFormat="1" applyFill="1" applyBorder="1"/>
    <xf numFmtId="0" fontId="0" fillId="10" borderId="46" xfId="0" applyFill="1" applyBorder="1"/>
    <xf numFmtId="0" fontId="0" fillId="10" borderId="47" xfId="0" applyFill="1" applyBorder="1"/>
    <xf numFmtId="9" fontId="0" fillId="10" borderId="48" xfId="0" applyNumberFormat="1" applyFill="1" applyBorder="1"/>
    <xf numFmtId="9" fontId="0" fillId="0" borderId="42" xfId="0" applyNumberFormat="1" applyBorder="1"/>
    <xf numFmtId="0" fontId="0" fillId="0" borderId="19" xfId="0" applyBorder="1" applyAlignment="1">
      <alignment horizontal="left" wrapText="1"/>
    </xf>
    <xf numFmtId="0" fontId="0" fillId="0" borderId="0" xfId="0" applyBorder="1" applyAlignment="1">
      <alignment horizontal="left" indent="2"/>
    </xf>
    <xf numFmtId="0" fontId="0" fillId="0" borderId="7" xfId="0" applyBorder="1" applyAlignment="1">
      <alignment horizontal="left" indent="2"/>
    </xf>
    <xf numFmtId="0" fontId="0" fillId="4" borderId="0" xfId="0" applyFill="1" applyBorder="1" applyAlignment="1">
      <alignment horizontal="left" indent="2"/>
    </xf>
    <xf numFmtId="0" fontId="0" fillId="7" borderId="0" xfId="0" applyFill="1" applyBorder="1" applyAlignment="1">
      <alignment horizontal="left" indent="2"/>
    </xf>
    <xf numFmtId="0" fontId="0" fillId="5" borderId="0" xfId="0" applyFill="1" applyBorder="1" applyAlignment="1">
      <alignment horizontal="left" indent="2"/>
    </xf>
    <xf numFmtId="0" fontId="0" fillId="8" borderId="0" xfId="0" applyFill="1" applyBorder="1" applyAlignment="1">
      <alignment horizontal="left" indent="2"/>
    </xf>
    <xf numFmtId="0" fontId="0" fillId="4" borderId="2" xfId="0" applyFont="1" applyFill="1" applyBorder="1" applyAlignment="1">
      <alignment horizontal="center" vertical="center"/>
    </xf>
    <xf numFmtId="0" fontId="0" fillId="7"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8" borderId="2" xfId="0" applyFont="1" applyFill="1" applyBorder="1" applyAlignment="1">
      <alignment horizontal="center" vertical="center"/>
    </xf>
    <xf numFmtId="0" fontId="21" fillId="0" borderId="0" xfId="3" applyFont="1"/>
    <xf numFmtId="0" fontId="11" fillId="0" borderId="0" xfId="3"/>
    <xf numFmtId="0" fontId="22" fillId="0" borderId="0" xfId="3" applyFont="1"/>
    <xf numFmtId="0" fontId="25" fillId="11" borderId="15" xfId="3" applyFont="1" applyFill="1" applyBorder="1" applyAlignment="1">
      <alignment vertical="center"/>
    </xf>
    <xf numFmtId="0" fontId="24" fillId="11" borderId="14" xfId="3" applyFont="1" applyFill="1" applyBorder="1" applyAlignment="1">
      <alignment horizontal="center" vertical="center" wrapText="1"/>
    </xf>
    <xf numFmtId="0" fontId="25" fillId="11" borderId="16" xfId="3" applyFont="1" applyFill="1" applyBorder="1" applyAlignment="1">
      <alignment vertical="center"/>
    </xf>
    <xf numFmtId="0" fontId="21" fillId="11" borderId="14" xfId="3" applyFont="1" applyFill="1" applyBorder="1"/>
    <xf numFmtId="0" fontId="21" fillId="11" borderId="15" xfId="3" applyFont="1" applyFill="1" applyBorder="1"/>
    <xf numFmtId="0" fontId="21" fillId="11" borderId="16" xfId="3" applyFont="1" applyFill="1" applyBorder="1"/>
    <xf numFmtId="0" fontId="23" fillId="11" borderId="14" xfId="3" applyFont="1" applyFill="1" applyBorder="1" applyAlignment="1">
      <alignment horizontal="center" vertical="center" wrapText="1"/>
    </xf>
    <xf numFmtId="164" fontId="26" fillId="11" borderId="15" xfId="4" applyNumberFormat="1" applyFont="1" applyFill="1" applyBorder="1" applyAlignment="1">
      <alignment horizontal="left" vertical="center" wrapText="1"/>
    </xf>
    <xf numFmtId="0" fontId="28" fillId="11" borderId="15" xfId="3" applyFont="1" applyFill="1" applyBorder="1" applyAlignment="1">
      <alignment horizontal="left" vertical="center" wrapText="1"/>
    </xf>
    <xf numFmtId="0" fontId="29" fillId="11" borderId="15" xfId="3" applyFont="1" applyFill="1" applyBorder="1" applyAlignment="1">
      <alignment vertical="center"/>
    </xf>
    <xf numFmtId="164" fontId="30" fillId="11" borderId="15" xfId="4" applyNumberFormat="1" applyFont="1" applyFill="1" applyBorder="1" applyAlignment="1">
      <alignment horizontal="left" vertical="center" wrapText="1"/>
    </xf>
    <xf numFmtId="0" fontId="31" fillId="11" borderId="15" xfId="3" applyFont="1" applyFill="1" applyBorder="1"/>
    <xf numFmtId="0" fontId="32" fillId="6" borderId="15" xfId="0" applyFont="1" applyFill="1" applyBorder="1" applyAlignment="1">
      <alignment horizontal="center" vertical="center" wrapText="1"/>
    </xf>
    <xf numFmtId="0" fontId="0" fillId="0" borderId="0" xfId="0" applyAlignment="1">
      <alignment horizontal="center" vertical="center" wrapText="1"/>
    </xf>
    <xf numFmtId="166" fontId="0" fillId="0" borderId="0" xfId="1" applyNumberFormat="1" applyFont="1"/>
    <xf numFmtId="164" fontId="0" fillId="6" borderId="0" xfId="1" applyNumberFormat="1" applyFont="1" applyFill="1" applyBorder="1" applyAlignment="1">
      <alignment horizontal="center" vertical="center"/>
    </xf>
    <xf numFmtId="167" fontId="0" fillId="6" borderId="0" xfId="0" applyNumberFormat="1" applyFill="1" applyBorder="1" applyAlignment="1">
      <alignment horizontal="center" vertical="center"/>
    </xf>
    <xf numFmtId="43" fontId="0" fillId="6" borderId="0" xfId="0" applyNumberFormat="1" applyFill="1" applyBorder="1" applyAlignment="1">
      <alignment horizontal="center" vertical="center"/>
    </xf>
    <xf numFmtId="0" fontId="32" fillId="5" borderId="15" xfId="0" applyFont="1" applyFill="1" applyBorder="1" applyAlignment="1">
      <alignment horizontal="center" vertical="center" wrapText="1"/>
    </xf>
    <xf numFmtId="0" fontId="23" fillId="12" borderId="14" xfId="3" applyFont="1" applyFill="1" applyBorder="1" applyAlignment="1">
      <alignment horizontal="center" vertical="center" wrapText="1"/>
    </xf>
    <xf numFmtId="0" fontId="23" fillId="12" borderId="15" xfId="3" applyFont="1" applyFill="1" applyBorder="1" applyAlignment="1">
      <alignment horizontal="left" vertical="center" wrapText="1"/>
    </xf>
    <xf numFmtId="0" fontId="21" fillId="12" borderId="15" xfId="3" applyFont="1" applyFill="1" applyBorder="1"/>
    <xf numFmtId="0" fontId="25" fillId="12" borderId="29" xfId="3" applyFont="1" applyFill="1" applyBorder="1" applyAlignment="1">
      <alignment vertical="center"/>
    </xf>
    <xf numFmtId="0" fontId="21" fillId="12" borderId="16" xfId="3" applyFont="1" applyFill="1" applyBorder="1"/>
    <xf numFmtId="164" fontId="26" fillId="12" borderId="15" xfId="4" applyNumberFormat="1" applyFont="1" applyFill="1" applyBorder="1" applyAlignment="1">
      <alignment horizontal="left" vertical="center" wrapText="1"/>
    </xf>
    <xf numFmtId="0" fontId="24" fillId="12" borderId="49" xfId="3" applyFont="1" applyFill="1" applyBorder="1" applyAlignment="1">
      <alignment horizontal="center" vertical="center" wrapText="1"/>
    </xf>
    <xf numFmtId="0" fontId="23" fillId="12" borderId="29" xfId="3" applyFont="1" applyFill="1" applyBorder="1" applyAlignment="1">
      <alignment horizontal="left" vertical="center" wrapText="1"/>
    </xf>
    <xf numFmtId="0" fontId="25" fillId="12" borderId="30" xfId="3" applyFont="1" applyFill="1" applyBorder="1" applyAlignment="1">
      <alignment vertical="center"/>
    </xf>
    <xf numFmtId="0" fontId="24" fillId="12" borderId="14" xfId="3" applyFont="1" applyFill="1" applyBorder="1" applyAlignment="1">
      <alignment horizontal="center" vertical="center" wrapText="1"/>
    </xf>
    <xf numFmtId="0" fontId="25" fillId="12" borderId="15" xfId="3" applyFont="1" applyFill="1" applyBorder="1" applyAlignment="1">
      <alignment vertical="center"/>
    </xf>
    <xf numFmtId="0" fontId="25" fillId="12" borderId="16" xfId="3" applyFont="1" applyFill="1" applyBorder="1" applyAlignment="1">
      <alignment vertical="center"/>
    </xf>
    <xf numFmtId="0" fontId="27" fillId="13" borderId="17" xfId="3" applyFont="1" applyFill="1" applyBorder="1" applyAlignment="1">
      <alignment horizontal="center" vertical="center"/>
    </xf>
    <xf numFmtId="0" fontId="23" fillId="13" borderId="18" xfId="3" applyFont="1" applyFill="1" applyBorder="1" applyAlignment="1">
      <alignment horizontal="left" vertical="center"/>
    </xf>
    <xf numFmtId="0" fontId="21" fillId="13" borderId="18" xfId="3" applyFont="1" applyFill="1" applyBorder="1"/>
    <xf numFmtId="0" fontId="21" fillId="13" borderId="19" xfId="3" applyFont="1" applyFill="1" applyBorder="1"/>
    <xf numFmtId="0" fontId="0" fillId="3" borderId="5" xfId="0" applyNumberFormat="1" applyFill="1" applyBorder="1"/>
    <xf numFmtId="0" fontId="32" fillId="6" borderId="9" xfId="0" applyFont="1" applyFill="1" applyBorder="1" applyAlignment="1">
      <alignment horizontal="center" vertical="center" wrapText="1"/>
    </xf>
    <xf numFmtId="0" fontId="32" fillId="6" borderId="50" xfId="0" applyFont="1" applyFill="1" applyBorder="1" applyAlignment="1">
      <alignment horizontal="center" vertical="center" wrapText="1"/>
    </xf>
    <xf numFmtId="0" fontId="32" fillId="13" borderId="27" xfId="0" applyFont="1" applyFill="1" applyBorder="1" applyAlignment="1">
      <alignment horizontal="center" vertical="center" wrapText="1"/>
    </xf>
    <xf numFmtId="0" fontId="32" fillId="13" borderId="29"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3" xfId="0" applyFont="1" applyFill="1" applyBorder="1" applyAlignment="1">
      <alignment horizontal="center" vertical="center" wrapText="1"/>
    </xf>
    <xf numFmtId="0" fontId="2" fillId="0" borderId="11" xfId="0" applyFont="1" applyBorder="1" applyAlignment="1">
      <alignment horizontal="left"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11" xfId="0" applyFont="1" applyBorder="1" applyAlignment="1">
      <alignment horizontal="center" wrapText="1"/>
    </xf>
    <xf numFmtId="0" fontId="2" fillId="0" borderId="20" xfId="0" applyFont="1" applyBorder="1" applyAlignment="1">
      <alignment horizontal="center" wrapText="1"/>
    </xf>
    <xf numFmtId="0" fontId="2" fillId="0" borderId="6" xfId="0" applyFont="1" applyBorder="1" applyAlignment="1">
      <alignment horizontal="center" wrapText="1"/>
    </xf>
    <xf numFmtId="0" fontId="0" fillId="0" borderId="17" xfId="0" applyBorder="1" applyAlignment="1">
      <alignment horizontal="left" wrapText="1"/>
    </xf>
    <xf numFmtId="0" fontId="0" fillId="0" borderId="1" xfId="0" applyBorder="1" applyAlignment="1">
      <alignment horizontal="left" wrapText="1"/>
    </xf>
    <xf numFmtId="0" fontId="0" fillId="0" borderId="21" xfId="0" applyBorder="1" applyAlignment="1">
      <alignment horizontal="left" wrapText="1"/>
    </xf>
  </cellXfs>
  <cellStyles count="5">
    <cellStyle name="Comma" xfId="1" builtinId="3"/>
    <cellStyle name="Comma 2" xfId="4" xr:uid="{D9BA96E9-FCE2-4944-BDF7-528F9C017690}"/>
    <cellStyle name="Normal" xfId="0" builtinId="0"/>
    <cellStyle name="Normal 2" xfId="3" xr:uid="{780AA431-362D-4707-8DB6-64DD533A8C1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B12"/>
  <sheetViews>
    <sheetView workbookViewId="0">
      <selection activeCell="B12" sqref="B12"/>
    </sheetView>
  </sheetViews>
  <sheetFormatPr defaultRowHeight="14.5" x14ac:dyDescent="0.35"/>
  <cols>
    <col min="2" max="2" width="187.54296875" style="56" customWidth="1"/>
  </cols>
  <sheetData>
    <row r="2" spans="2:2" ht="42.5" x14ac:dyDescent="0.35">
      <c r="B2" s="62" t="s">
        <v>4</v>
      </c>
    </row>
    <row r="4" spans="2:2" ht="96.75" customHeight="1" x14ac:dyDescent="0.35">
      <c r="B4" s="57" t="s">
        <v>162</v>
      </c>
    </row>
    <row r="5" spans="2:2" x14ac:dyDescent="0.35">
      <c r="B5" s="58"/>
    </row>
    <row r="6" spans="2:2" ht="106.5" customHeight="1" x14ac:dyDescent="0.35">
      <c r="B6" s="57" t="s">
        <v>158</v>
      </c>
    </row>
    <row r="7" spans="2:2" x14ac:dyDescent="0.35">
      <c r="B7" s="58"/>
    </row>
    <row r="8" spans="2:2" ht="84" x14ac:dyDescent="0.35">
      <c r="B8" s="59" t="s">
        <v>157</v>
      </c>
    </row>
    <row r="9" spans="2:2" x14ac:dyDescent="0.35">
      <c r="B9" s="58"/>
    </row>
    <row r="10" spans="2:2" x14ac:dyDescent="0.35">
      <c r="B10" s="60" t="s">
        <v>3</v>
      </c>
    </row>
    <row r="11" spans="2:2" x14ac:dyDescent="0.35">
      <c r="B11" s="61"/>
    </row>
    <row r="12" spans="2:2" ht="28" x14ac:dyDescent="0.35">
      <c r="B12" s="59" t="s">
        <v>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4"/>
  <sheetViews>
    <sheetView workbookViewId="0">
      <selection activeCell="D18" sqref="D18"/>
    </sheetView>
  </sheetViews>
  <sheetFormatPr defaultRowHeight="14.5" x14ac:dyDescent="0.35"/>
  <cols>
    <col min="2" max="2" width="41.453125" customWidth="1"/>
    <col min="3" max="3" width="10.90625" customWidth="1"/>
    <col min="4" max="4" width="41" customWidth="1"/>
    <col min="5" max="5" width="10.54296875" customWidth="1"/>
    <col min="6" max="6" width="31" customWidth="1"/>
    <col min="7" max="7" width="24.08984375" customWidth="1"/>
  </cols>
  <sheetData>
    <row r="2" spans="2:6" x14ac:dyDescent="0.35">
      <c r="B2" s="111" t="s">
        <v>122</v>
      </c>
      <c r="D2" s="111" t="s">
        <v>123</v>
      </c>
      <c r="F2" s="111" t="s">
        <v>124</v>
      </c>
    </row>
    <row r="3" spans="2:6" ht="185.25" customHeight="1" x14ac:dyDescent="0.35">
      <c r="B3" s="117" t="s">
        <v>159</v>
      </c>
      <c r="C3" s="117"/>
      <c r="D3" s="117" t="s">
        <v>161</v>
      </c>
      <c r="E3" s="117"/>
      <c r="F3" s="117" t="s">
        <v>156</v>
      </c>
    </row>
    <row r="4" spans="2:6" x14ac:dyDescent="0.35">
      <c r="B4" s="115" t="s">
        <v>125</v>
      </c>
      <c r="D4" s="116" t="s">
        <v>126</v>
      </c>
      <c r="F4" s="116" t="s">
        <v>127</v>
      </c>
    </row>
    <row r="5" spans="2:6" x14ac:dyDescent="0.35">
      <c r="B5" s="115" t="s">
        <v>128</v>
      </c>
      <c r="D5" s="116" t="s">
        <v>131</v>
      </c>
      <c r="F5" s="115" t="s">
        <v>129</v>
      </c>
    </row>
    <row r="6" spans="2:6" x14ac:dyDescent="0.35">
      <c r="B6" s="115" t="s">
        <v>130</v>
      </c>
      <c r="D6" s="116" t="s">
        <v>134</v>
      </c>
      <c r="F6" s="116" t="s">
        <v>132</v>
      </c>
    </row>
    <row r="7" spans="2:6" x14ac:dyDescent="0.35">
      <c r="B7" s="115" t="s">
        <v>133</v>
      </c>
      <c r="D7" s="116" t="s">
        <v>137</v>
      </c>
      <c r="F7" s="116" t="s">
        <v>135</v>
      </c>
    </row>
    <row r="8" spans="2:6" x14ac:dyDescent="0.35">
      <c r="B8" s="115" t="s">
        <v>136</v>
      </c>
      <c r="D8" s="116" t="s">
        <v>140</v>
      </c>
      <c r="F8" s="116" t="s">
        <v>138</v>
      </c>
    </row>
    <row r="9" spans="2:6" x14ac:dyDescent="0.35">
      <c r="B9" s="115" t="s">
        <v>139</v>
      </c>
      <c r="D9" s="116" t="s">
        <v>142</v>
      </c>
      <c r="F9" s="116" t="s">
        <v>154</v>
      </c>
    </row>
    <row r="10" spans="2:6" ht="29" x14ac:dyDescent="0.35">
      <c r="B10" s="115" t="s">
        <v>141</v>
      </c>
      <c r="D10" s="116" t="s">
        <v>144</v>
      </c>
    </row>
    <row r="11" spans="2:6" x14ac:dyDescent="0.35">
      <c r="B11" s="115" t="s">
        <v>143</v>
      </c>
      <c r="D11" s="116" t="s">
        <v>146</v>
      </c>
    </row>
    <row r="12" spans="2:6" x14ac:dyDescent="0.35">
      <c r="B12" s="115" t="s">
        <v>145</v>
      </c>
      <c r="F12" s="116"/>
    </row>
    <row r="13" spans="2:6" x14ac:dyDescent="0.35">
      <c r="B13" s="115" t="s">
        <v>147</v>
      </c>
      <c r="D13" s="116"/>
      <c r="F13" s="116"/>
    </row>
    <row r="14" spans="2:6" x14ac:dyDescent="0.35">
      <c r="B14" s="115" t="s">
        <v>160</v>
      </c>
    </row>
    <row r="17" spans="2:2" x14ac:dyDescent="0.35">
      <c r="B17" s="111" t="s">
        <v>148</v>
      </c>
    </row>
    <row r="18" spans="2:2" x14ac:dyDescent="0.35">
      <c r="B18" s="115" t="s">
        <v>149</v>
      </c>
    </row>
    <row r="19" spans="2:2" x14ac:dyDescent="0.35">
      <c r="B19" s="115" t="s">
        <v>155</v>
      </c>
    </row>
    <row r="20" spans="2:2" x14ac:dyDescent="0.35">
      <c r="B20" s="115" t="s">
        <v>150</v>
      </c>
    </row>
    <row r="21" spans="2:2" x14ac:dyDescent="0.35">
      <c r="B21" s="115" t="s">
        <v>151</v>
      </c>
    </row>
    <row r="22" spans="2:2" x14ac:dyDescent="0.35">
      <c r="B22" s="115" t="s">
        <v>152</v>
      </c>
    </row>
    <row r="23" spans="2:2" x14ac:dyDescent="0.35">
      <c r="B23" s="115" t="s">
        <v>153</v>
      </c>
    </row>
    <row r="24" spans="2:2" x14ac:dyDescent="0.35">
      <c r="B24" s="11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91004-4DBB-406B-BB29-C8CF0D2BC88D}">
  <sheetPr>
    <pageSetUpPr fitToPage="1"/>
  </sheetPr>
  <dimension ref="A1:L46"/>
  <sheetViews>
    <sheetView tabSelected="1" workbookViewId="0">
      <pane ySplit="5" topLeftCell="A6" activePane="bottomLeft" state="frozen"/>
      <selection pane="bottomLeft" activeCell="C7" sqref="C7"/>
    </sheetView>
  </sheetViews>
  <sheetFormatPr defaultColWidth="8.90625" defaultRowHeight="14" x14ac:dyDescent="0.3"/>
  <cols>
    <col min="1" max="1" width="9.90625" style="152" customWidth="1"/>
    <col min="2" max="2" width="7" style="152" customWidth="1"/>
    <col min="3" max="3" width="29" style="152" customWidth="1"/>
    <col min="4" max="4" width="13.90625" style="152" customWidth="1"/>
    <col min="5" max="5" width="12.54296875" style="152" customWidth="1"/>
    <col min="6" max="6" width="14.08984375" style="152" customWidth="1"/>
    <col min="7" max="8" width="20.90625" style="152" customWidth="1"/>
    <col min="9" max="9" width="18.54296875" style="152" customWidth="1"/>
    <col min="10" max="10" width="20.54296875" style="152" customWidth="1"/>
    <col min="11" max="11" width="17.453125" style="152" customWidth="1"/>
    <col min="12" max="16384" width="8.90625" style="152"/>
  </cols>
  <sheetData>
    <row r="1" spans="1:12" ht="14.5" x14ac:dyDescent="0.35">
      <c r="A1" t="str">
        <f>IF($B$1="Русский", "Выберите:", "Select:")</f>
        <v>Выберите:</v>
      </c>
      <c r="B1" t="s">
        <v>7</v>
      </c>
      <c r="C1" s="151"/>
      <c r="D1" s="151"/>
      <c r="E1" s="151"/>
      <c r="F1" s="151"/>
      <c r="G1" s="151"/>
      <c r="H1" s="151"/>
      <c r="I1" s="151"/>
      <c r="J1" s="151"/>
      <c r="K1" s="151"/>
      <c r="L1" s="151"/>
    </row>
    <row r="2" spans="1:12" ht="17.5" x14ac:dyDescent="0.35">
      <c r="B2" s="153" t="str">
        <f>IF($B$1="Русский", "Приложение 1: Бюджет (при необходимости - можно добавить дополнительные разделы)", "Annex 1: Budget (if necessary - additional sections could be added)")</f>
        <v>Приложение 1: Бюджет (при необходимости - можно добавить дополнительные разделы)</v>
      </c>
      <c r="C2" s="151"/>
      <c r="D2" s="151"/>
      <c r="E2" s="151"/>
      <c r="F2" s="151"/>
      <c r="G2" s="151"/>
      <c r="H2" s="151"/>
      <c r="I2" s="151"/>
      <c r="J2" s="151"/>
      <c r="K2" s="151"/>
      <c r="L2" s="151"/>
    </row>
    <row r="3" spans="1:12" ht="14.5" x14ac:dyDescent="0.35">
      <c r="A3" s="151"/>
      <c r="B3" s="151"/>
      <c r="C3" s="151"/>
      <c r="D3" s="151"/>
      <c r="E3" s="151"/>
      <c r="F3" s="151"/>
      <c r="G3" s="151"/>
      <c r="H3" s="151"/>
      <c r="I3" s="151"/>
      <c r="J3" t="str">
        <f>IF($B$1="Русский", "Валюта:", "Currency:")</f>
        <v>Валюта:</v>
      </c>
      <c r="K3" t="str">
        <f>IF($B$1="Русский", "*Сом, если не указано иное", "Kyrgyz Soms, unless otherwise stated")</f>
        <v>*Сом, если не указано иное</v>
      </c>
      <c r="L3" s="151"/>
    </row>
    <row r="4" spans="1:12" ht="36" customHeight="1" x14ac:dyDescent="0.3">
      <c r="A4" s="151"/>
      <c r="B4" s="192" t="s">
        <v>178</v>
      </c>
      <c r="C4" s="192" t="str">
        <f>IF($B$1="Русский", "Статьи бюджета", "Budget Items")</f>
        <v>Статьи бюджета</v>
      </c>
      <c r="D4" s="192" t="str">
        <f>IF($B$1="Русский", "Стоимость единицы (сом)", "Unit cost (KGS)")</f>
        <v>Стоимость единицы (сом)</v>
      </c>
      <c r="E4" s="192" t="str">
        <f>IF($B$1="Русский", "Количество", "Units")</f>
        <v>Количество</v>
      </c>
      <c r="F4" s="192" t="str">
        <f>IF($B$1="Русский", "Итого (сом)", "Total (KGS)")</f>
        <v>Итого (сом)</v>
      </c>
      <c r="G4" s="194" t="str">
        <f>IF($B$1="Русский", "Запрашиваемый вклад от проекта USAID Конкурентное предприятие", "USAID Enterprise Competitiveness Project Requested Contribution")</f>
        <v>Запрашиваемый вклад от проекта USAID Конкурентное предприятие</v>
      </c>
      <c r="H4" s="195"/>
      <c r="I4" s="190" t="str">
        <f>IF($B$1="Русский", "Вклад партнера", "Partner Contribution")</f>
        <v>Вклад партнера</v>
      </c>
      <c r="J4" s="191"/>
      <c r="K4" s="192" t="str">
        <f>IF($B$1="Русский", "Комментарии", "Comments")</f>
        <v>Комментарии</v>
      </c>
      <c r="L4" s="151"/>
    </row>
    <row r="5" spans="1:12" ht="42.65" customHeight="1" x14ac:dyDescent="0.3">
      <c r="A5" s="151"/>
      <c r="B5" s="193"/>
      <c r="C5" s="193"/>
      <c r="D5" s="193"/>
      <c r="E5" s="193"/>
      <c r="F5" s="193"/>
      <c r="G5" s="172" t="str">
        <f>IF($B$1="Русский", "Денежный", "Cash in")</f>
        <v>Денежный</v>
      </c>
      <c r="H5" s="172" t="str">
        <f>IF($B$1="Русский", "В натуральном выражении", "In kind value")</f>
        <v>В натуральном выражении</v>
      </c>
      <c r="I5" s="166" t="str">
        <f>IF($B$1="Русский", "Денежный", "Cash in")</f>
        <v>Денежный</v>
      </c>
      <c r="J5" s="166" t="str">
        <f>IF($B$1="Русский", "В натуральном выражении", "In kind value")</f>
        <v>В натуральном выражении</v>
      </c>
      <c r="K5" s="193"/>
      <c r="L5" s="151"/>
    </row>
    <row r="6" spans="1:12" ht="15" x14ac:dyDescent="0.3">
      <c r="A6" s="151"/>
      <c r="B6" s="179">
        <v>1</v>
      </c>
      <c r="C6" s="180" t="str">
        <f>IF($B$1="Русский", "Зар.платы", "Salaries")</f>
        <v>Зар.платы</v>
      </c>
      <c r="D6" s="176"/>
      <c r="E6" s="176"/>
      <c r="F6" s="176">
        <f>SUM(F7:F10)</f>
        <v>0</v>
      </c>
      <c r="G6" s="176">
        <f>SUM(G7:G10)</f>
        <v>0</v>
      </c>
      <c r="H6" s="176">
        <f>SUM(H7:H10)</f>
        <v>0</v>
      </c>
      <c r="I6" s="176">
        <f>SUM(I7:I10)</f>
        <v>0</v>
      </c>
      <c r="J6" s="176">
        <f>SUM(J7:J10)</f>
        <v>0</v>
      </c>
      <c r="K6" s="181"/>
      <c r="L6" s="151"/>
    </row>
    <row r="7" spans="1:12" ht="15" x14ac:dyDescent="0.3">
      <c r="A7" s="151"/>
      <c r="B7" s="155"/>
      <c r="C7" s="162"/>
      <c r="D7" s="154"/>
      <c r="E7" s="154"/>
      <c r="F7" s="154">
        <f>D7*E7</f>
        <v>0</v>
      </c>
      <c r="G7" s="154"/>
      <c r="H7" s="154"/>
      <c r="I7" s="154"/>
      <c r="J7" s="154"/>
      <c r="K7" s="156"/>
      <c r="L7" s="151"/>
    </row>
    <row r="8" spans="1:12" ht="15" x14ac:dyDescent="0.3">
      <c r="A8" s="151"/>
      <c r="B8" s="155"/>
      <c r="C8" s="162"/>
      <c r="D8" s="154"/>
      <c r="E8" s="154"/>
      <c r="F8" s="154">
        <f t="shared" ref="F8:F10" si="0">D8*E8</f>
        <v>0</v>
      </c>
      <c r="G8" s="154"/>
      <c r="H8" s="154"/>
      <c r="I8" s="154"/>
      <c r="J8" s="154"/>
      <c r="K8" s="156"/>
      <c r="L8" s="151"/>
    </row>
    <row r="9" spans="1:12" ht="15" x14ac:dyDescent="0.3">
      <c r="A9" s="151"/>
      <c r="B9" s="155"/>
      <c r="C9" s="162"/>
      <c r="D9" s="154"/>
      <c r="E9" s="154"/>
      <c r="F9" s="154">
        <f t="shared" si="0"/>
        <v>0</v>
      </c>
      <c r="G9" s="154"/>
      <c r="H9" s="154"/>
      <c r="I9" s="154"/>
      <c r="J9" s="154"/>
      <c r="K9" s="156"/>
      <c r="L9" s="151"/>
    </row>
    <row r="10" spans="1:12" ht="15" x14ac:dyDescent="0.3">
      <c r="A10" s="151"/>
      <c r="B10" s="157"/>
      <c r="C10" s="163"/>
      <c r="D10" s="154"/>
      <c r="E10" s="154"/>
      <c r="F10" s="154">
        <f t="shared" si="0"/>
        <v>0</v>
      </c>
      <c r="G10" s="154"/>
      <c r="H10" s="154"/>
      <c r="I10" s="154"/>
      <c r="J10" s="154"/>
      <c r="K10" s="156"/>
      <c r="L10" s="151"/>
    </row>
    <row r="11" spans="1:12" ht="15" x14ac:dyDescent="0.3">
      <c r="A11" s="151"/>
      <c r="B11" s="182">
        <v>2</v>
      </c>
      <c r="C11" s="174" t="str">
        <f>IF($B$1="Русский", "Оборудование", "Equipment")</f>
        <v>Оборудование</v>
      </c>
      <c r="D11" s="183"/>
      <c r="E11" s="183"/>
      <c r="F11" s="176">
        <f>SUM(F12:F16)</f>
        <v>0</v>
      </c>
      <c r="G11" s="176">
        <f>SUM(G12:G16)</f>
        <v>0</v>
      </c>
      <c r="H11" s="176">
        <f>SUM(H12:H16)</f>
        <v>0</v>
      </c>
      <c r="I11" s="176">
        <f>SUM(I12:I16)</f>
        <v>0</v>
      </c>
      <c r="J11" s="176">
        <f>SUM(J12:J16)</f>
        <v>0</v>
      </c>
      <c r="K11" s="184"/>
      <c r="L11" s="151"/>
    </row>
    <row r="12" spans="1:12" ht="15" x14ac:dyDescent="0.3">
      <c r="A12" s="151"/>
      <c r="B12" s="157"/>
      <c r="C12" s="154"/>
      <c r="D12" s="154"/>
      <c r="E12" s="154"/>
      <c r="F12" s="154">
        <f>D12*E12</f>
        <v>0</v>
      </c>
      <c r="G12" s="154"/>
      <c r="H12" s="154"/>
      <c r="I12" s="154"/>
      <c r="J12" s="154"/>
      <c r="K12" s="156"/>
      <c r="L12" s="151"/>
    </row>
    <row r="13" spans="1:12" ht="15" x14ac:dyDescent="0.3">
      <c r="A13" s="151"/>
      <c r="B13" s="157"/>
      <c r="C13" s="154"/>
      <c r="D13" s="154"/>
      <c r="E13" s="154"/>
      <c r="F13" s="154">
        <f t="shared" ref="F13:F15" si="1">D13*E13</f>
        <v>0</v>
      </c>
      <c r="G13" s="154"/>
      <c r="H13" s="154"/>
      <c r="I13" s="154"/>
      <c r="J13" s="154"/>
      <c r="K13" s="156"/>
      <c r="L13" s="151"/>
    </row>
    <row r="14" spans="1:12" ht="15" x14ac:dyDescent="0.3">
      <c r="A14" s="151"/>
      <c r="B14" s="157"/>
      <c r="C14" s="158"/>
      <c r="D14" s="158"/>
      <c r="E14" s="158"/>
      <c r="F14" s="154">
        <f t="shared" si="1"/>
        <v>0</v>
      </c>
      <c r="G14" s="158"/>
      <c r="H14" s="158"/>
      <c r="I14" s="158"/>
      <c r="J14" s="158"/>
      <c r="K14" s="159"/>
      <c r="L14" s="151"/>
    </row>
    <row r="15" spans="1:12" ht="15" x14ac:dyDescent="0.3">
      <c r="A15" s="151"/>
      <c r="B15" s="157"/>
      <c r="C15" s="158"/>
      <c r="D15" s="158"/>
      <c r="E15" s="158"/>
      <c r="F15" s="154">
        <f t="shared" si="1"/>
        <v>0</v>
      </c>
      <c r="G15" s="158"/>
      <c r="H15" s="158"/>
      <c r="I15" s="158"/>
      <c r="J15" s="158"/>
      <c r="K15" s="159"/>
      <c r="L15" s="151"/>
    </row>
    <row r="16" spans="1:12" ht="15" x14ac:dyDescent="0.3">
      <c r="A16" s="151"/>
      <c r="B16" s="157"/>
      <c r="C16" s="158"/>
      <c r="D16" s="158"/>
      <c r="E16" s="158"/>
      <c r="F16" s="154">
        <f>D16*E16</f>
        <v>0</v>
      </c>
      <c r="G16" s="158"/>
      <c r="H16" s="158"/>
      <c r="I16" s="158"/>
      <c r="J16" s="158"/>
      <c r="K16" s="159"/>
      <c r="L16" s="151"/>
    </row>
    <row r="17" spans="1:12" ht="15" x14ac:dyDescent="0.3">
      <c r="A17" s="151"/>
      <c r="B17" s="173">
        <v>3</v>
      </c>
      <c r="C17" s="174" t="str">
        <f>IF($B$1="Русский", "Земля/Строительство", "Land/Construction")</f>
        <v>Земля/Строительство</v>
      </c>
      <c r="D17" s="175"/>
      <c r="E17" s="175"/>
      <c r="F17" s="176">
        <f>SUM(F18:F20)</f>
        <v>0</v>
      </c>
      <c r="G17" s="176">
        <f>SUM(G18:G20)</f>
        <v>0</v>
      </c>
      <c r="H17" s="176">
        <f>SUM(H18:H20)</f>
        <v>0</v>
      </c>
      <c r="I17" s="176">
        <f>SUM(I18:I20)</f>
        <v>0</v>
      </c>
      <c r="J17" s="176">
        <f>SUM(J18:J20)</f>
        <v>0</v>
      </c>
      <c r="K17" s="177"/>
      <c r="L17" s="151"/>
    </row>
    <row r="18" spans="1:12" ht="15" x14ac:dyDescent="0.3">
      <c r="A18" s="151"/>
      <c r="B18" s="157"/>
      <c r="C18" s="158"/>
      <c r="D18" s="158"/>
      <c r="E18" s="158"/>
      <c r="F18" s="154">
        <f>D18*E18</f>
        <v>0</v>
      </c>
      <c r="G18" s="158"/>
      <c r="H18" s="158"/>
      <c r="I18" s="158"/>
      <c r="J18" s="158"/>
      <c r="K18" s="159"/>
      <c r="L18" s="151"/>
    </row>
    <row r="19" spans="1:12" ht="15" x14ac:dyDescent="0.3">
      <c r="A19" s="151"/>
      <c r="B19" s="157"/>
      <c r="C19" s="158"/>
      <c r="D19" s="158"/>
      <c r="E19" s="158"/>
      <c r="F19" s="154">
        <f t="shared" ref="F19:F20" si="2">D19*E19</f>
        <v>0</v>
      </c>
      <c r="G19" s="158"/>
      <c r="H19" s="158"/>
      <c r="I19" s="158"/>
      <c r="J19" s="158"/>
      <c r="K19" s="159"/>
      <c r="L19" s="151"/>
    </row>
    <row r="20" spans="1:12" ht="15" x14ac:dyDescent="0.3">
      <c r="A20" s="151"/>
      <c r="B20" s="157"/>
      <c r="C20" s="158"/>
      <c r="D20" s="158"/>
      <c r="E20" s="158"/>
      <c r="F20" s="154">
        <f t="shared" si="2"/>
        <v>0</v>
      </c>
      <c r="G20" s="158"/>
      <c r="H20" s="158"/>
      <c r="I20" s="158"/>
      <c r="J20" s="158"/>
      <c r="K20" s="159"/>
      <c r="L20" s="151"/>
    </row>
    <row r="21" spans="1:12" ht="15" x14ac:dyDescent="0.3">
      <c r="A21" s="151"/>
      <c r="B21" s="173">
        <v>4</v>
      </c>
      <c r="C21" s="174" t="str">
        <f>IF($B$1="Русский", "Профессиональные Услуги", "Professional Services")</f>
        <v>Профессиональные Услуги</v>
      </c>
      <c r="D21" s="175"/>
      <c r="E21" s="175"/>
      <c r="F21" s="176">
        <f>SUM(F22:F24)</f>
        <v>0</v>
      </c>
      <c r="G21" s="176">
        <f>SUM(G22:G24)</f>
        <v>0</v>
      </c>
      <c r="H21" s="176">
        <f>SUM(H22:H24)</f>
        <v>0</v>
      </c>
      <c r="I21" s="176">
        <f>SUM(I22:I24)</f>
        <v>0</v>
      </c>
      <c r="J21" s="176">
        <f>SUM(J22:J24)</f>
        <v>0</v>
      </c>
      <c r="K21" s="177"/>
      <c r="L21" s="151"/>
    </row>
    <row r="22" spans="1:12" ht="15" x14ac:dyDescent="0.3">
      <c r="A22" s="151"/>
      <c r="B22" s="157"/>
      <c r="C22" s="158"/>
      <c r="D22" s="158"/>
      <c r="E22" s="158"/>
      <c r="F22" s="154">
        <f>D22*E22</f>
        <v>0</v>
      </c>
      <c r="G22" s="158"/>
      <c r="H22" s="158"/>
      <c r="I22" s="158"/>
      <c r="J22" s="158"/>
      <c r="K22" s="159"/>
      <c r="L22" s="151"/>
    </row>
    <row r="23" spans="1:12" ht="15" x14ac:dyDescent="0.3">
      <c r="A23" s="151"/>
      <c r="B23" s="157"/>
      <c r="C23" s="158"/>
      <c r="D23" s="158"/>
      <c r="E23" s="158"/>
      <c r="F23" s="154">
        <f t="shared" ref="F23:F24" si="3">D23*E23</f>
        <v>0</v>
      </c>
      <c r="G23" s="158"/>
      <c r="H23" s="158"/>
      <c r="I23" s="158"/>
      <c r="J23" s="158"/>
      <c r="K23" s="159"/>
      <c r="L23" s="151"/>
    </row>
    <row r="24" spans="1:12" ht="15" x14ac:dyDescent="0.3">
      <c r="A24" s="151"/>
      <c r="B24" s="157"/>
      <c r="C24" s="158"/>
      <c r="D24" s="158"/>
      <c r="E24" s="158"/>
      <c r="F24" s="154">
        <f t="shared" si="3"/>
        <v>0</v>
      </c>
      <c r="G24" s="158"/>
      <c r="H24" s="158"/>
      <c r="I24" s="158"/>
      <c r="J24" s="158"/>
      <c r="K24" s="159"/>
      <c r="L24" s="151"/>
    </row>
    <row r="25" spans="1:12" ht="15" x14ac:dyDescent="0.3">
      <c r="A25" s="151"/>
      <c r="B25" s="173">
        <v>5</v>
      </c>
      <c r="C25" s="178" t="str">
        <f>IF($B$1="Русский", "Прямые затраты", "Direct Costs")</f>
        <v>Прямые затраты</v>
      </c>
      <c r="D25" s="175"/>
      <c r="E25" s="175"/>
      <c r="F25" s="176">
        <f>SUM(F26:F27)</f>
        <v>0</v>
      </c>
      <c r="G25" s="176">
        <f>SUM(G26:G27)</f>
        <v>0</v>
      </c>
      <c r="H25" s="176">
        <f>SUM(H26:H27)</f>
        <v>0</v>
      </c>
      <c r="I25" s="176">
        <f>SUM(I26:I27)</f>
        <v>0</v>
      </c>
      <c r="J25" s="176">
        <f>SUM(J26:J27)</f>
        <v>0</v>
      </c>
      <c r="K25" s="177"/>
      <c r="L25" s="151"/>
    </row>
    <row r="26" spans="1:12" ht="15" x14ac:dyDescent="0.3">
      <c r="A26" s="151"/>
      <c r="B26" s="160"/>
      <c r="C26" s="161"/>
      <c r="D26" s="158"/>
      <c r="E26" s="158"/>
      <c r="F26" s="154">
        <f>D26*E26</f>
        <v>0</v>
      </c>
      <c r="G26" s="158"/>
      <c r="H26" s="158"/>
      <c r="I26" s="158"/>
      <c r="J26" s="158"/>
      <c r="K26" s="159"/>
      <c r="L26" s="151"/>
    </row>
    <row r="27" spans="1:12" ht="15" x14ac:dyDescent="0.3">
      <c r="A27" s="151"/>
      <c r="B27" s="160"/>
      <c r="C27" s="161"/>
      <c r="D27" s="158"/>
      <c r="E27" s="158"/>
      <c r="F27" s="154">
        <f>D27*E27</f>
        <v>0</v>
      </c>
      <c r="G27" s="158"/>
      <c r="H27" s="158"/>
      <c r="I27" s="158"/>
      <c r="J27" s="158"/>
      <c r="K27" s="159"/>
      <c r="L27" s="151"/>
    </row>
    <row r="28" spans="1:12" ht="15" x14ac:dyDescent="0.3">
      <c r="A28" s="151"/>
      <c r="B28" s="173">
        <v>6</v>
      </c>
      <c r="C28" s="178" t="str">
        <f>IF($B$1="Русский", "Косвенные издержки", "Indirect Costs")</f>
        <v>Косвенные издержки</v>
      </c>
      <c r="D28" s="175"/>
      <c r="E28" s="175"/>
      <c r="F28" s="176">
        <f>SUM(F29:F30)</f>
        <v>0</v>
      </c>
      <c r="G28" s="176">
        <f>SUM(G29:G30)</f>
        <v>0</v>
      </c>
      <c r="H28" s="176">
        <f>SUM(H29:H30)</f>
        <v>0</v>
      </c>
      <c r="I28" s="176">
        <f>SUM(I29:I30)</f>
        <v>0</v>
      </c>
      <c r="J28" s="176">
        <f>SUM(J29:J30)</f>
        <v>0</v>
      </c>
      <c r="K28" s="177"/>
      <c r="L28" s="151"/>
    </row>
    <row r="29" spans="1:12" ht="15" x14ac:dyDescent="0.3">
      <c r="A29" s="151"/>
      <c r="B29" s="160"/>
      <c r="C29" s="164"/>
      <c r="D29" s="158"/>
      <c r="E29" s="158"/>
      <c r="F29" s="154">
        <f>D29*E29</f>
        <v>0</v>
      </c>
      <c r="G29" s="158"/>
      <c r="H29" s="158"/>
      <c r="I29" s="158"/>
      <c r="J29" s="158"/>
      <c r="K29" s="159"/>
      <c r="L29" s="151"/>
    </row>
    <row r="30" spans="1:12" ht="15" x14ac:dyDescent="0.3">
      <c r="A30" s="151"/>
      <c r="B30" s="160"/>
      <c r="C30" s="164"/>
      <c r="D30" s="158"/>
      <c r="E30" s="158"/>
      <c r="F30" s="154">
        <f>D30*E30</f>
        <v>0</v>
      </c>
      <c r="G30" s="158"/>
      <c r="H30" s="158"/>
      <c r="I30" s="158"/>
      <c r="J30" s="158"/>
      <c r="K30" s="159"/>
      <c r="L30" s="151"/>
    </row>
    <row r="31" spans="1:12" ht="15" x14ac:dyDescent="0.3">
      <c r="A31" s="151"/>
      <c r="B31" s="173">
        <v>7</v>
      </c>
      <c r="C31" s="178" t="str">
        <f>IF($B$1="Русский", "Другие", "Other")</f>
        <v>Другие</v>
      </c>
      <c r="D31" s="175"/>
      <c r="E31" s="175"/>
      <c r="F31" s="176">
        <f>SUM(F32:F33)</f>
        <v>0</v>
      </c>
      <c r="G31" s="176">
        <f>SUM(G32:G33)</f>
        <v>0</v>
      </c>
      <c r="H31" s="176">
        <f>SUM(H32:H33)</f>
        <v>0</v>
      </c>
      <c r="I31" s="176">
        <f>SUM(I32:I33)</f>
        <v>0</v>
      </c>
      <c r="J31" s="176">
        <f>SUM(J32:J33)</f>
        <v>0</v>
      </c>
      <c r="K31" s="177"/>
      <c r="L31" s="151"/>
    </row>
    <row r="32" spans="1:12" ht="15" x14ac:dyDescent="0.3">
      <c r="A32" s="151"/>
      <c r="B32" s="157"/>
      <c r="C32" s="165"/>
      <c r="D32" s="158"/>
      <c r="E32" s="158"/>
      <c r="F32" s="154">
        <f>D32*E32</f>
        <v>0</v>
      </c>
      <c r="G32" s="158"/>
      <c r="H32" s="158"/>
      <c r="I32" s="158"/>
      <c r="J32" s="158"/>
      <c r="K32" s="159"/>
      <c r="L32" s="151"/>
    </row>
    <row r="33" spans="1:12" ht="15" x14ac:dyDescent="0.3">
      <c r="A33" s="151"/>
      <c r="B33" s="157"/>
      <c r="C33" s="165"/>
      <c r="D33" s="158"/>
      <c r="E33" s="158"/>
      <c r="F33" s="154">
        <f>D33*E33</f>
        <v>0</v>
      </c>
      <c r="G33" s="158"/>
      <c r="H33" s="158"/>
      <c r="I33" s="158"/>
      <c r="J33" s="158"/>
      <c r="K33" s="159"/>
      <c r="L33" s="151"/>
    </row>
    <row r="34" spans="1:12" ht="14.5" thickBot="1" x14ac:dyDescent="0.35">
      <c r="A34" s="151"/>
      <c r="B34" s="185"/>
      <c r="C34" s="186" t="str">
        <f>IF($B$1="Русский", "ИТОГО", "TOTAL")</f>
        <v>ИТОГО</v>
      </c>
      <c r="D34" s="187"/>
      <c r="E34" s="187"/>
      <c r="F34" s="187">
        <f>SUM(F6,F11,F17,F21,F25,F28,F31)</f>
        <v>0</v>
      </c>
      <c r="G34" s="187">
        <f>SUM(G6,G11,G17,G21,G25,G28,G31)</f>
        <v>0</v>
      </c>
      <c r="H34" s="187">
        <f>SUM(H6,H11,H17,H21,H25,H28,H31)</f>
        <v>0</v>
      </c>
      <c r="I34" s="187">
        <f t="shared" ref="I34" si="4">SUM(I6,I11,I17,I21,I25,I28,I31)</f>
        <v>0</v>
      </c>
      <c r="J34" s="187">
        <f>SUM(J6,J11,J17,J21,J25,J28,J31)</f>
        <v>0</v>
      </c>
      <c r="K34" s="188"/>
      <c r="L34" s="151"/>
    </row>
    <row r="35" spans="1:12" ht="14.5" thickTop="1" x14ac:dyDescent="0.3">
      <c r="A35" s="151"/>
      <c r="B35" s="151"/>
      <c r="C35" s="151"/>
      <c r="D35" s="151"/>
      <c r="E35" s="151"/>
      <c r="F35" s="151"/>
      <c r="G35" s="151"/>
      <c r="H35" s="151"/>
      <c r="I35" s="151"/>
      <c r="J35" s="151"/>
      <c r="K35" s="151"/>
      <c r="L35" s="151"/>
    </row>
    <row r="36" spans="1:12" x14ac:dyDescent="0.3">
      <c r="A36" s="151"/>
      <c r="B36" s="151"/>
      <c r="C36" s="151"/>
      <c r="D36" s="151"/>
      <c r="E36" s="151"/>
      <c r="F36" s="151"/>
      <c r="G36" s="151"/>
      <c r="H36" s="151"/>
      <c r="I36" s="151"/>
      <c r="J36" s="151"/>
      <c r="K36" s="151"/>
      <c r="L36" s="151"/>
    </row>
    <row r="37" spans="1:12" x14ac:dyDescent="0.3">
      <c r="A37" s="151"/>
      <c r="B37" s="151"/>
      <c r="C37" s="151"/>
      <c r="D37" s="151"/>
      <c r="E37" s="151"/>
      <c r="F37" s="151"/>
      <c r="G37" s="151"/>
      <c r="H37" s="151"/>
      <c r="I37" s="151"/>
      <c r="J37" s="151"/>
      <c r="K37" s="151"/>
      <c r="L37" s="151"/>
    </row>
    <row r="38" spans="1:12" x14ac:dyDescent="0.3">
      <c r="A38" s="151"/>
      <c r="B38" s="151"/>
      <c r="C38" s="151"/>
      <c r="D38" s="151"/>
      <c r="E38" s="151"/>
      <c r="F38" s="151"/>
      <c r="G38" s="151"/>
      <c r="H38" s="151"/>
      <c r="I38" s="151"/>
      <c r="J38" s="151"/>
      <c r="K38" s="151"/>
      <c r="L38" s="151"/>
    </row>
    <row r="39" spans="1:12" x14ac:dyDescent="0.3">
      <c r="A39" s="151"/>
      <c r="B39" s="151"/>
      <c r="C39" s="151"/>
      <c r="D39" s="151"/>
      <c r="E39" s="151"/>
      <c r="F39" s="151"/>
      <c r="G39" s="151"/>
      <c r="H39" s="151"/>
      <c r="I39" s="151"/>
      <c r="J39" s="151"/>
      <c r="K39" s="151"/>
      <c r="L39" s="151"/>
    </row>
    <row r="40" spans="1:12" x14ac:dyDescent="0.3">
      <c r="A40" s="151"/>
      <c r="B40" s="151"/>
      <c r="C40" s="151"/>
      <c r="D40" s="151"/>
      <c r="E40" s="151"/>
      <c r="F40" s="151"/>
      <c r="G40" s="151"/>
      <c r="H40" s="151"/>
      <c r="I40" s="151"/>
      <c r="J40" s="151"/>
      <c r="K40" s="151"/>
      <c r="L40" s="151"/>
    </row>
    <row r="41" spans="1:12" x14ac:dyDescent="0.3">
      <c r="A41" s="151"/>
      <c r="B41" s="151"/>
      <c r="C41" s="151"/>
      <c r="D41" s="151"/>
      <c r="E41" s="151"/>
      <c r="F41" s="151"/>
      <c r="G41" s="151"/>
      <c r="H41" s="151"/>
      <c r="I41" s="151"/>
      <c r="J41" s="151"/>
      <c r="K41" s="151"/>
      <c r="L41" s="151"/>
    </row>
    <row r="42" spans="1:12" x14ac:dyDescent="0.3">
      <c r="A42" s="151"/>
      <c r="B42" s="151"/>
      <c r="C42" s="151"/>
      <c r="D42" s="151"/>
      <c r="E42" s="151"/>
      <c r="F42" s="151"/>
      <c r="G42" s="151"/>
      <c r="H42" s="151"/>
      <c r="I42" s="151"/>
      <c r="J42" s="151"/>
      <c r="K42" s="151"/>
      <c r="L42" s="151"/>
    </row>
    <row r="43" spans="1:12" x14ac:dyDescent="0.3">
      <c r="A43" s="151"/>
      <c r="B43" s="151"/>
      <c r="C43" s="151"/>
      <c r="D43" s="151"/>
      <c r="E43" s="151"/>
      <c r="F43" s="151"/>
      <c r="G43" s="151"/>
      <c r="H43" s="151"/>
      <c r="I43" s="151"/>
      <c r="J43" s="151"/>
      <c r="K43" s="151"/>
      <c r="L43" s="151"/>
    </row>
    <row r="44" spans="1:12" x14ac:dyDescent="0.3">
      <c r="A44" s="151"/>
      <c r="B44" s="151"/>
      <c r="C44" s="151"/>
      <c r="D44" s="151"/>
      <c r="E44" s="151"/>
      <c r="F44" s="151"/>
      <c r="G44" s="151"/>
      <c r="H44" s="151"/>
      <c r="I44" s="151"/>
      <c r="J44" s="151"/>
      <c r="K44" s="151"/>
      <c r="L44" s="151"/>
    </row>
    <row r="45" spans="1:12" x14ac:dyDescent="0.3">
      <c r="A45" s="151"/>
      <c r="B45" s="151"/>
      <c r="C45" s="151"/>
      <c r="D45" s="151"/>
      <c r="E45" s="151"/>
      <c r="F45" s="151"/>
      <c r="G45" s="151"/>
      <c r="H45" s="151"/>
      <c r="I45" s="151"/>
      <c r="J45" s="151"/>
      <c r="K45" s="151"/>
      <c r="L45" s="151"/>
    </row>
    <row r="46" spans="1:12" x14ac:dyDescent="0.3">
      <c r="A46" s="151"/>
      <c r="B46" s="151"/>
      <c r="C46" s="151"/>
      <c r="D46" s="151"/>
      <c r="E46" s="151"/>
      <c r="F46" s="151"/>
      <c r="G46" s="151"/>
      <c r="H46" s="151"/>
      <c r="I46" s="151"/>
      <c r="J46" s="151"/>
      <c r="K46" s="151"/>
      <c r="L46" s="151"/>
    </row>
  </sheetData>
  <mergeCells count="8">
    <mergeCell ref="I4:J4"/>
    <mergeCell ref="K4:K5"/>
    <mergeCell ref="B4:B5"/>
    <mergeCell ref="C4:C5"/>
    <mergeCell ref="D4:D5"/>
    <mergeCell ref="E4:E5"/>
    <mergeCell ref="F4:F5"/>
    <mergeCell ref="G4:H4"/>
  </mergeCells>
  <dataValidations count="1">
    <dataValidation type="list" allowBlank="1" showInputMessage="1" showErrorMessage="1" promptTitle="English" sqref="B1" xr:uid="{C7D50D05-14FB-4746-8A76-DF674BA99F6C}">
      <formula1>Language</formula1>
    </dataValidation>
  </dataValidations>
  <pageMargins left="0.7" right="0.7" top="0.75" bottom="0.75" header="0.3" footer="0.3"/>
  <pageSetup paperSize="9" scale="64" orientation="landscape" r:id="rId1"/>
  <ignoredErrors>
    <ignoredError sqref="H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Z46"/>
  <sheetViews>
    <sheetView workbookViewId="0">
      <selection activeCell="C4" sqref="C4"/>
    </sheetView>
  </sheetViews>
  <sheetFormatPr defaultRowHeight="14.5" x14ac:dyDescent="0.35"/>
  <cols>
    <col min="2" max="2" width="6.90625" customWidth="1"/>
    <col min="3" max="3" width="45.08984375" bestFit="1" customWidth="1"/>
    <col min="4" max="4" width="14.08984375" customWidth="1"/>
    <col min="5" max="5" width="13.54296875" customWidth="1"/>
    <col min="6" max="6" width="14.90625" customWidth="1"/>
    <col min="7" max="7" width="14.08984375" customWidth="1"/>
    <col min="8" max="8" width="13.54296875" customWidth="1"/>
    <col min="9" max="9" width="11.90625" customWidth="1"/>
    <col min="20" max="20" width="9.08984375" customWidth="1"/>
    <col min="21" max="21" width="6.453125" customWidth="1"/>
    <col min="22" max="22" width="9.08984375" customWidth="1"/>
    <col min="23" max="23" width="23.54296875" customWidth="1"/>
    <col min="24" max="24" width="14" customWidth="1"/>
  </cols>
  <sheetData>
    <row r="2" spans="1:26" ht="15" thickBot="1" x14ac:dyDescent="0.4">
      <c r="A2" t="str">
        <f>IF($B$2="Русский", "Выберите:", "Select:")</f>
        <v>Выберите:</v>
      </c>
      <c r="B2" t="s">
        <v>7</v>
      </c>
    </row>
    <row r="3" spans="1:26" ht="15" thickBot="1" x14ac:dyDescent="0.4">
      <c r="C3" t="str">
        <f>IF(B2="Русский", "Название компании:", "Company name:")</f>
        <v>Название компании:</v>
      </c>
      <c r="W3" s="88" t="s">
        <v>47</v>
      </c>
      <c r="X3" s="89" t="s">
        <v>48</v>
      </c>
      <c r="Y3" s="90"/>
      <c r="Z3" s="90"/>
    </row>
    <row r="4" spans="1:26" x14ac:dyDescent="0.35">
      <c r="C4" t="str">
        <f>IF(B2="Русский", "Отчетный период:", "Reporting period:")</f>
        <v>Отчетный период:</v>
      </c>
      <c r="F4" t="s">
        <v>163</v>
      </c>
      <c r="W4" s="91" t="s">
        <v>49</v>
      </c>
      <c r="X4" s="72" t="s">
        <v>9</v>
      </c>
      <c r="Y4" s="92"/>
      <c r="Z4" s="92"/>
    </row>
    <row r="5" spans="1:26" ht="15" thickBot="1" x14ac:dyDescent="0.4">
      <c r="D5" s="79" t="s">
        <v>46</v>
      </c>
      <c r="E5" t="str">
        <f>БО!F5</f>
        <v>KGS</v>
      </c>
      <c r="F5" t="s">
        <v>164</v>
      </c>
      <c r="W5" s="100" t="s">
        <v>80</v>
      </c>
      <c r="X5" s="99" t="s">
        <v>84</v>
      </c>
      <c r="Y5" s="94"/>
      <c r="Z5" s="94"/>
    </row>
    <row r="6" spans="1:26" ht="15" thickTop="1" x14ac:dyDescent="0.35">
      <c r="B6" s="196" t="str">
        <f xml:space="preserve"> IF(B2="Русский", X5,W5)</f>
        <v>Операционные потоки</v>
      </c>
      <c r="C6" s="197"/>
      <c r="D6" s="120" t="s">
        <v>170</v>
      </c>
      <c r="E6" s="63" t="s">
        <v>171</v>
      </c>
      <c r="F6" s="63" t="s">
        <v>172</v>
      </c>
      <c r="G6" s="63" t="s">
        <v>173</v>
      </c>
      <c r="H6" s="63" t="s">
        <v>174</v>
      </c>
      <c r="I6" s="64" t="s">
        <v>175</v>
      </c>
      <c r="W6" s="97" t="s">
        <v>57</v>
      </c>
      <c r="X6" s="74" t="s">
        <v>81</v>
      </c>
      <c r="Y6" s="94"/>
      <c r="Z6" s="94"/>
    </row>
    <row r="7" spans="1:26" x14ac:dyDescent="0.35">
      <c r="B7" s="198" t="str">
        <f>IF(B2="Русский", X5,W5)</f>
        <v>Операционные потоки</v>
      </c>
      <c r="C7" s="199"/>
      <c r="D7" s="66"/>
      <c r="E7" s="66"/>
      <c r="F7" s="66"/>
      <c r="G7" s="66"/>
      <c r="H7" s="66"/>
      <c r="I7" s="67"/>
      <c r="W7" s="102" t="s">
        <v>58</v>
      </c>
      <c r="X7" s="103" t="s">
        <v>91</v>
      </c>
      <c r="Y7" s="94"/>
      <c r="Z7" s="94"/>
    </row>
    <row r="8" spans="1:26" x14ac:dyDescent="0.35">
      <c r="B8" s="78"/>
      <c r="C8" s="66" t="str">
        <f xml:space="preserve"> IF($B$2="Русский", X6,W6)</f>
        <v>Денежные поступления от</v>
      </c>
      <c r="D8" s="66">
        <f>SUM(D9:D10)</f>
        <v>0</v>
      </c>
      <c r="E8" s="66">
        <f>SUM(E9:E10)</f>
        <v>0</v>
      </c>
      <c r="F8" s="66">
        <f t="shared" ref="F8:I8" si="0">SUM(F9:F10)</f>
        <v>0</v>
      </c>
      <c r="G8" s="66">
        <f t="shared" si="0"/>
        <v>0</v>
      </c>
      <c r="H8" s="66">
        <f t="shared" si="0"/>
        <v>0</v>
      </c>
      <c r="I8" s="67">
        <f t="shared" si="0"/>
        <v>0</v>
      </c>
      <c r="W8" s="102" t="s">
        <v>59</v>
      </c>
      <c r="X8" s="103" t="s">
        <v>92</v>
      </c>
      <c r="Y8" s="94"/>
      <c r="Z8" s="94"/>
    </row>
    <row r="9" spans="1:26" x14ac:dyDescent="0.35">
      <c r="B9" s="107" t="s">
        <v>44</v>
      </c>
      <c r="C9" s="66" t="str">
        <f t="shared" ref="C9:C17" si="1" xml:space="preserve"> IF($B$2="Русский", X7,W7)</f>
        <v>клиентов</v>
      </c>
      <c r="D9" s="66"/>
      <c r="E9" s="66"/>
      <c r="F9" s="66"/>
      <c r="G9" s="66"/>
      <c r="H9" s="66"/>
      <c r="I9" s="67"/>
      <c r="W9" s="104" t="s">
        <v>60</v>
      </c>
      <c r="X9" s="105" t="s">
        <v>82</v>
      </c>
      <c r="Y9" s="90"/>
      <c r="Z9" s="90"/>
    </row>
    <row r="10" spans="1:26" x14ac:dyDescent="0.35">
      <c r="B10" s="78" t="s">
        <v>44</v>
      </c>
      <c r="C10" s="66" t="str">
        <f t="shared" si="1"/>
        <v>других операций</v>
      </c>
      <c r="D10" s="66"/>
      <c r="E10" s="66"/>
      <c r="F10" s="66"/>
      <c r="G10" s="66"/>
      <c r="H10" s="66"/>
      <c r="I10" s="67"/>
      <c r="W10" s="104" t="s">
        <v>61</v>
      </c>
      <c r="X10" s="103" t="s">
        <v>93</v>
      </c>
      <c r="Y10" s="90"/>
      <c r="Z10" s="90"/>
    </row>
    <row r="11" spans="1:26" x14ac:dyDescent="0.35">
      <c r="B11" s="78"/>
      <c r="C11" s="66" t="str">
        <f t="shared" si="1"/>
        <v>Денежные выплаты на</v>
      </c>
      <c r="D11" s="66">
        <f>SUM(D12:D16)</f>
        <v>0</v>
      </c>
      <c r="E11" s="66">
        <f>SUM(E12:E16)</f>
        <v>0</v>
      </c>
      <c r="F11" s="66">
        <f t="shared" ref="F11:I11" si="2">SUM(F12:F16)</f>
        <v>0</v>
      </c>
      <c r="G11" s="66">
        <f t="shared" si="2"/>
        <v>0</v>
      </c>
      <c r="H11" s="66">
        <f>SUM(H12:H16)</f>
        <v>0</v>
      </c>
      <c r="I11" s="67">
        <f t="shared" si="2"/>
        <v>0</v>
      </c>
      <c r="W11" s="104" t="s">
        <v>62</v>
      </c>
      <c r="X11" s="103" t="s">
        <v>94</v>
      </c>
      <c r="Y11" s="90"/>
      <c r="Z11" s="90"/>
    </row>
    <row r="12" spans="1:26" x14ac:dyDescent="0.35">
      <c r="B12" s="78" t="s">
        <v>35</v>
      </c>
      <c r="C12" s="66" t="str">
        <f t="shared" si="1"/>
        <v>приобретение ТМЗ</v>
      </c>
      <c r="D12" s="66"/>
      <c r="E12" s="66"/>
      <c r="F12" s="66"/>
      <c r="G12" s="66"/>
      <c r="H12" s="66"/>
      <c r="I12" s="67"/>
      <c r="W12" s="104" t="s">
        <v>63</v>
      </c>
      <c r="X12" s="103" t="s">
        <v>95</v>
      </c>
      <c r="Y12" s="90"/>
      <c r="Z12" s="90"/>
    </row>
    <row r="13" spans="1:26" x14ac:dyDescent="0.35">
      <c r="B13" s="78" t="s">
        <v>35</v>
      </c>
      <c r="C13" s="66" t="str">
        <f t="shared" si="1"/>
        <v>административные расходы (выплаты)</v>
      </c>
      <c r="D13" s="66"/>
      <c r="E13" s="66"/>
      <c r="F13" s="66"/>
      <c r="G13" s="66"/>
      <c r="H13" s="66"/>
      <c r="I13" s="67"/>
      <c r="W13" s="104" t="s">
        <v>64</v>
      </c>
      <c r="X13" s="103" t="s">
        <v>96</v>
      </c>
      <c r="Y13" s="90"/>
      <c r="Z13" s="90"/>
    </row>
    <row r="14" spans="1:26" x14ac:dyDescent="0.35">
      <c r="B14" s="78" t="s">
        <v>35</v>
      </c>
      <c r="C14" s="66" t="str">
        <f t="shared" si="1"/>
        <v>заработная плата (выплаты)</v>
      </c>
      <c r="D14" s="66"/>
      <c r="E14" s="66"/>
      <c r="F14" s="66"/>
      <c r="G14" s="66"/>
      <c r="H14" s="66"/>
      <c r="I14" s="67"/>
      <c r="W14" s="104" t="s">
        <v>65</v>
      </c>
      <c r="X14" s="103" t="s">
        <v>97</v>
      </c>
      <c r="Y14" s="90"/>
      <c r="Z14" s="90"/>
    </row>
    <row r="15" spans="1:26" x14ac:dyDescent="0.35">
      <c r="B15" s="78" t="s">
        <v>35</v>
      </c>
      <c r="C15" s="66" t="str">
        <f t="shared" si="1"/>
        <v>проценты выплаченные</v>
      </c>
      <c r="D15" s="66"/>
      <c r="E15" s="66"/>
      <c r="F15" s="66"/>
      <c r="G15" s="66"/>
      <c r="H15" s="66"/>
      <c r="I15" s="67"/>
      <c r="W15" s="93" t="s">
        <v>66</v>
      </c>
      <c r="X15" s="74" t="s">
        <v>83</v>
      </c>
      <c r="Y15" s="90"/>
      <c r="Z15" s="90"/>
    </row>
    <row r="16" spans="1:26" x14ac:dyDescent="0.35">
      <c r="B16" s="78" t="s">
        <v>35</v>
      </c>
      <c r="C16" s="66" t="str">
        <f t="shared" si="1"/>
        <v>налоги оплаченные</v>
      </c>
      <c r="D16" s="66"/>
      <c r="E16" s="66"/>
      <c r="F16" s="66"/>
      <c r="G16" s="66"/>
      <c r="H16" s="66"/>
      <c r="I16" s="67"/>
      <c r="W16" s="100" t="s">
        <v>50</v>
      </c>
      <c r="X16" s="99" t="s">
        <v>85</v>
      </c>
      <c r="Y16" s="90"/>
      <c r="Z16" s="90"/>
    </row>
    <row r="17" spans="2:26" x14ac:dyDescent="0.35">
      <c r="B17" s="78"/>
      <c r="C17" s="66" t="str">
        <f t="shared" si="1"/>
        <v>Чистые операционные денежные потоки</v>
      </c>
      <c r="D17" s="66">
        <f>D8-D11</f>
        <v>0</v>
      </c>
      <c r="E17" s="66">
        <f>E8-E11</f>
        <v>0</v>
      </c>
      <c r="F17" s="66">
        <f t="shared" ref="F17:I17" si="3">F8-F11</f>
        <v>0</v>
      </c>
      <c r="G17" s="66">
        <f t="shared" si="3"/>
        <v>0</v>
      </c>
      <c r="H17" s="66">
        <f t="shared" si="3"/>
        <v>0</v>
      </c>
      <c r="I17" s="67">
        <f t="shared" si="3"/>
        <v>0</v>
      </c>
      <c r="W17" s="97" t="s">
        <v>57</v>
      </c>
      <c r="X17" s="74" t="s">
        <v>86</v>
      </c>
      <c r="Y17" s="90"/>
      <c r="Z17" s="90"/>
    </row>
    <row r="18" spans="2:26" x14ac:dyDescent="0.35">
      <c r="B18" s="108" t="str">
        <f xml:space="preserve"> IF($B$2="Русский", X16,W16)</f>
        <v>Финансовые потоки</v>
      </c>
      <c r="C18" s="66"/>
      <c r="D18" s="66"/>
      <c r="E18" s="66"/>
      <c r="F18" s="66"/>
      <c r="G18" s="66"/>
      <c r="H18" s="66"/>
      <c r="I18" s="67"/>
      <c r="W18" s="95" t="s">
        <v>75</v>
      </c>
      <c r="X18" s="96" t="s">
        <v>79</v>
      </c>
      <c r="Y18" s="90"/>
      <c r="Z18" s="90"/>
    </row>
    <row r="19" spans="2:26" x14ac:dyDescent="0.35">
      <c r="B19" s="78"/>
      <c r="C19" s="66" t="str">
        <f xml:space="preserve"> IF($B$2="Русский", X17,W17)</f>
        <v>Денежные поступления</v>
      </c>
      <c r="D19" s="66">
        <f>SUM(D20:D21)</f>
        <v>0</v>
      </c>
      <c r="E19" s="66">
        <f t="shared" ref="E19:I19" si="4">SUM(E20:E21)</f>
        <v>0</v>
      </c>
      <c r="F19" s="66">
        <f t="shared" si="4"/>
        <v>0</v>
      </c>
      <c r="G19" s="66">
        <f t="shared" si="4"/>
        <v>0</v>
      </c>
      <c r="H19" s="66">
        <f t="shared" si="4"/>
        <v>0</v>
      </c>
      <c r="I19" s="67">
        <f t="shared" si="4"/>
        <v>0</v>
      </c>
      <c r="W19" s="95" t="s">
        <v>51</v>
      </c>
      <c r="X19" s="96" t="s">
        <v>88</v>
      </c>
      <c r="Y19" s="90"/>
      <c r="Z19" s="90"/>
    </row>
    <row r="20" spans="2:26" x14ac:dyDescent="0.35">
      <c r="B20" s="78" t="s">
        <v>44</v>
      </c>
      <c r="C20" s="66" t="str">
        <f t="shared" ref="C20:C35" si="5" xml:space="preserve"> IF($B$2="Русский", X18,W18)</f>
        <v>полученные кредиты и займы</v>
      </c>
      <c r="D20" s="66"/>
      <c r="E20" s="66"/>
      <c r="F20" s="66"/>
      <c r="G20" s="66"/>
      <c r="H20" s="66"/>
      <c r="I20" s="67"/>
      <c r="W20" s="97" t="s">
        <v>60</v>
      </c>
      <c r="X20" s="74" t="s">
        <v>87</v>
      </c>
    </row>
    <row r="21" spans="2:26" x14ac:dyDescent="0.35">
      <c r="B21" s="78" t="s">
        <v>44</v>
      </c>
      <c r="C21" s="66" t="str">
        <f t="shared" si="5"/>
        <v>увеличение собственного капитала</v>
      </c>
      <c r="D21" s="66"/>
      <c r="E21" s="66"/>
      <c r="F21" s="66"/>
      <c r="G21" s="66"/>
      <c r="H21" s="66"/>
      <c r="I21" s="67"/>
      <c r="W21" s="97" t="s">
        <v>76</v>
      </c>
      <c r="X21" s="96" t="s">
        <v>98</v>
      </c>
    </row>
    <row r="22" spans="2:26" x14ac:dyDescent="0.35">
      <c r="B22" s="78"/>
      <c r="C22" s="66" t="str">
        <f t="shared" si="5"/>
        <v>Денежные выплаты</v>
      </c>
      <c r="D22" s="66">
        <f>SUM(D23:D25)</f>
        <v>0</v>
      </c>
      <c r="E22" s="66">
        <f t="shared" ref="E22:H22" si="6">SUM(E23:E25)</f>
        <v>0</v>
      </c>
      <c r="F22" s="66">
        <f t="shared" si="6"/>
        <v>0</v>
      </c>
      <c r="G22" s="66">
        <f t="shared" si="6"/>
        <v>0</v>
      </c>
      <c r="H22" s="66">
        <f t="shared" si="6"/>
        <v>0</v>
      </c>
      <c r="I22" s="67">
        <f>SUM(I23:I25)</f>
        <v>0</v>
      </c>
      <c r="W22" s="97" t="s">
        <v>77</v>
      </c>
      <c r="X22" s="96" t="s">
        <v>99</v>
      </c>
    </row>
    <row r="23" spans="2:26" x14ac:dyDescent="0.35">
      <c r="B23" s="78" t="s">
        <v>35</v>
      </c>
      <c r="C23" s="66" t="str">
        <f t="shared" si="5"/>
        <v>выкуп доли в учредительном капитале</v>
      </c>
      <c r="D23" s="66"/>
      <c r="E23" s="66"/>
      <c r="F23" s="66"/>
      <c r="G23" s="66"/>
      <c r="H23" s="66"/>
      <c r="I23" s="67"/>
      <c r="W23" s="97" t="s">
        <v>31</v>
      </c>
      <c r="X23" s="96" t="s">
        <v>100</v>
      </c>
    </row>
    <row r="24" spans="2:26" ht="15.5" x14ac:dyDescent="0.35">
      <c r="B24" s="78" t="s">
        <v>35</v>
      </c>
      <c r="C24" s="66" t="str">
        <f t="shared" si="5"/>
        <v>выплаты кредитов и займов</v>
      </c>
      <c r="D24" s="66"/>
      <c r="E24" s="66"/>
      <c r="F24" s="66"/>
      <c r="G24" s="66"/>
      <c r="H24" s="66"/>
      <c r="I24" s="67"/>
      <c r="W24" s="98" t="s">
        <v>78</v>
      </c>
      <c r="X24" s="101" t="s">
        <v>89</v>
      </c>
      <c r="Y24" s="90"/>
      <c r="Z24" s="90"/>
    </row>
    <row r="25" spans="2:26" x14ac:dyDescent="0.35">
      <c r="B25" s="78" t="s">
        <v>35</v>
      </c>
      <c r="C25" s="66" t="str">
        <f t="shared" si="5"/>
        <v>выплата дивидендов</v>
      </c>
      <c r="D25" s="66"/>
      <c r="E25" s="66"/>
      <c r="F25" s="66"/>
      <c r="G25" s="66"/>
      <c r="H25" s="66"/>
      <c r="I25" s="67"/>
      <c r="W25" s="100" t="s">
        <v>67</v>
      </c>
      <c r="X25" s="99" t="s">
        <v>90</v>
      </c>
      <c r="Y25" s="90"/>
      <c r="Z25" s="90"/>
    </row>
    <row r="26" spans="2:26" x14ac:dyDescent="0.35">
      <c r="B26" s="65"/>
      <c r="C26" s="66" t="str">
        <f t="shared" si="5"/>
        <v>Чистые финансовые потоки</v>
      </c>
      <c r="D26" s="66">
        <f>D19-D22</f>
        <v>0</v>
      </c>
      <c r="E26" s="66">
        <f t="shared" ref="E26:I26" si="7">E19-E22</f>
        <v>0</v>
      </c>
      <c r="F26" s="66">
        <f t="shared" si="7"/>
        <v>0</v>
      </c>
      <c r="G26" s="66">
        <f t="shared" si="7"/>
        <v>0</v>
      </c>
      <c r="H26" s="66">
        <f t="shared" si="7"/>
        <v>0</v>
      </c>
      <c r="I26" s="67">
        <f t="shared" si="7"/>
        <v>0</v>
      </c>
      <c r="W26" s="97" t="s">
        <v>57</v>
      </c>
      <c r="X26" s="74" t="s">
        <v>86</v>
      </c>
      <c r="Y26" s="90"/>
      <c r="Z26" s="90"/>
    </row>
    <row r="27" spans="2:26" x14ac:dyDescent="0.35">
      <c r="B27" s="108" t="str">
        <f xml:space="preserve"> IF($B$2="Русский", X25,W25)</f>
        <v>Инвестиционные потоки</v>
      </c>
      <c r="C27" s="66"/>
      <c r="D27" s="66"/>
      <c r="E27" s="66"/>
      <c r="F27" s="66"/>
      <c r="G27" s="66"/>
      <c r="H27" s="66"/>
      <c r="I27" s="67"/>
      <c r="W27" s="97" t="s">
        <v>68</v>
      </c>
      <c r="X27" s="103" t="s">
        <v>101</v>
      </c>
      <c r="Y27" s="90"/>
      <c r="Z27" s="90"/>
    </row>
    <row r="28" spans="2:26" x14ac:dyDescent="0.35">
      <c r="B28" s="65"/>
      <c r="C28" s="66" t="str">
        <f t="shared" si="5"/>
        <v>Денежные поступления</v>
      </c>
      <c r="D28" s="66">
        <f>SUM(D29:D31)</f>
        <v>0</v>
      </c>
      <c r="E28" s="66">
        <f t="shared" ref="E28:I28" si="8">SUM(E29:E31)</f>
        <v>0</v>
      </c>
      <c r="F28" s="66">
        <f t="shared" si="8"/>
        <v>0</v>
      </c>
      <c r="G28" s="66">
        <f t="shared" si="8"/>
        <v>0</v>
      </c>
      <c r="H28" s="66">
        <f t="shared" si="8"/>
        <v>0</v>
      </c>
      <c r="I28" s="67">
        <f t="shared" si="8"/>
        <v>0</v>
      </c>
      <c r="W28" s="97" t="s">
        <v>69</v>
      </c>
      <c r="X28" s="103" t="s">
        <v>102</v>
      </c>
      <c r="Y28" s="90"/>
      <c r="Z28" s="90"/>
    </row>
    <row r="29" spans="2:26" x14ac:dyDescent="0.35">
      <c r="B29" s="78" t="s">
        <v>44</v>
      </c>
      <c r="C29" s="66" t="str">
        <f t="shared" si="5"/>
        <v>продажа оборудования и осовных активов</v>
      </c>
      <c r="D29" s="66"/>
      <c r="E29" s="66"/>
      <c r="F29" s="66"/>
      <c r="G29" s="66"/>
      <c r="H29" s="66"/>
      <c r="I29" s="67"/>
      <c r="W29" s="97" t="s">
        <v>70</v>
      </c>
      <c r="X29" s="96" t="s">
        <v>103</v>
      </c>
      <c r="Y29" s="90"/>
      <c r="Z29" s="90"/>
    </row>
    <row r="30" spans="2:26" x14ac:dyDescent="0.35">
      <c r="B30" s="78" t="s">
        <v>44</v>
      </c>
      <c r="C30" s="66" t="str">
        <f t="shared" si="5"/>
        <v>возврат выданных кредитов</v>
      </c>
      <c r="D30" s="66"/>
      <c r="E30" s="66"/>
      <c r="F30" s="66"/>
      <c r="G30" s="66"/>
      <c r="H30" s="66"/>
      <c r="I30" s="67"/>
      <c r="W30" s="97" t="s">
        <v>60</v>
      </c>
      <c r="X30" s="74" t="s">
        <v>87</v>
      </c>
      <c r="Y30" s="90"/>
      <c r="Z30" s="90"/>
    </row>
    <row r="31" spans="2:26" x14ac:dyDescent="0.35">
      <c r="B31" s="78" t="s">
        <v>44</v>
      </c>
      <c r="C31" s="66" t="str">
        <f t="shared" si="5"/>
        <v>продажа инвестиционных активов</v>
      </c>
      <c r="D31" s="66"/>
      <c r="E31" s="66"/>
      <c r="F31" s="66"/>
      <c r="G31" s="66"/>
      <c r="H31" s="66"/>
      <c r="I31" s="67"/>
      <c r="W31" s="97" t="s">
        <v>71</v>
      </c>
      <c r="X31" s="96" t="s">
        <v>104</v>
      </c>
      <c r="Y31" s="90"/>
      <c r="Z31" s="90"/>
    </row>
    <row r="32" spans="2:26" x14ac:dyDescent="0.35">
      <c r="B32" s="109"/>
      <c r="C32" s="66" t="str">
        <f t="shared" si="5"/>
        <v>Денежные выплаты</v>
      </c>
      <c r="D32" s="66">
        <f>SUM(D33:D35)</f>
        <v>0</v>
      </c>
      <c r="E32" s="66">
        <f t="shared" ref="E32:I32" si="9">SUM(E33:E35)</f>
        <v>0</v>
      </c>
      <c r="F32" s="66">
        <f t="shared" si="9"/>
        <v>0</v>
      </c>
      <c r="G32" s="66">
        <f t="shared" si="9"/>
        <v>0</v>
      </c>
      <c r="H32" s="66">
        <f t="shared" si="9"/>
        <v>0</v>
      </c>
      <c r="I32" s="67">
        <f t="shared" si="9"/>
        <v>0</v>
      </c>
      <c r="W32" s="97" t="s">
        <v>72</v>
      </c>
      <c r="X32" s="106" t="s">
        <v>105</v>
      </c>
      <c r="Y32" s="90"/>
      <c r="Z32" s="90"/>
    </row>
    <row r="33" spans="2:26" x14ac:dyDescent="0.35">
      <c r="B33" s="78" t="s">
        <v>35</v>
      </c>
      <c r="C33" s="66" t="str">
        <f t="shared" si="5"/>
        <v>приобретение оборудования и основных активов</v>
      </c>
      <c r="D33" s="66"/>
      <c r="E33" s="66"/>
      <c r="F33" s="66"/>
      <c r="G33" s="66"/>
      <c r="H33" s="66"/>
      <c r="I33" s="67"/>
      <c r="W33" s="97" t="s">
        <v>73</v>
      </c>
      <c r="X33" s="106" t="s">
        <v>106</v>
      </c>
      <c r="Z33" s="90"/>
    </row>
    <row r="34" spans="2:26" ht="15.5" x14ac:dyDescent="0.35">
      <c r="B34" s="78" t="s">
        <v>35</v>
      </c>
      <c r="C34" s="66" t="str">
        <f t="shared" si="5"/>
        <v>займы и кредиты другим организациям</v>
      </c>
      <c r="D34" s="66"/>
      <c r="E34" s="66"/>
      <c r="F34" s="66"/>
      <c r="G34" s="66"/>
      <c r="H34" s="66"/>
      <c r="I34" s="67"/>
      <c r="V34" s="95" t="s">
        <v>53</v>
      </c>
      <c r="W34" s="98" t="s">
        <v>74</v>
      </c>
      <c r="X34" s="101" t="s">
        <v>107</v>
      </c>
      <c r="Z34" s="90"/>
    </row>
    <row r="35" spans="2:26" x14ac:dyDescent="0.35">
      <c r="B35" s="78" t="s">
        <v>35</v>
      </c>
      <c r="C35" s="66" t="str">
        <f t="shared" si="5"/>
        <v>приобретение инвестиционных активов</v>
      </c>
      <c r="D35" s="66"/>
      <c r="E35" s="66"/>
      <c r="F35" s="66"/>
      <c r="G35" s="66"/>
      <c r="H35" s="66"/>
      <c r="I35" s="67"/>
      <c r="V35" s="95" t="s">
        <v>54</v>
      </c>
      <c r="W35" s="90" t="s">
        <v>114</v>
      </c>
      <c r="X35" s="110" t="s">
        <v>113</v>
      </c>
    </row>
    <row r="36" spans="2:26" ht="15" thickBot="1" x14ac:dyDescent="0.4">
      <c r="B36" s="68"/>
      <c r="C36" s="69" t="str">
        <f xml:space="preserve"> IF($B$2="Русский", X34,W34)</f>
        <v>Чистые инвестиционные потоки</v>
      </c>
      <c r="D36" s="69">
        <f>D28-D32</f>
        <v>0</v>
      </c>
      <c r="E36" s="69">
        <f t="shared" ref="E36:I36" si="10">E28-E32</f>
        <v>0</v>
      </c>
      <c r="F36" s="69">
        <f t="shared" si="10"/>
        <v>0</v>
      </c>
      <c r="G36" s="69">
        <f t="shared" si="10"/>
        <v>0</v>
      </c>
      <c r="H36" s="69">
        <f t="shared" si="10"/>
        <v>0</v>
      </c>
      <c r="I36" s="70">
        <f t="shared" si="10"/>
        <v>0</v>
      </c>
      <c r="V36" s="95" t="s">
        <v>55</v>
      </c>
      <c r="W36" s="90" t="s">
        <v>108</v>
      </c>
      <c r="X36" s="90" t="s">
        <v>109</v>
      </c>
    </row>
    <row r="37" spans="2:26" ht="15.5" thickTop="1" thickBot="1" x14ac:dyDescent="0.4">
      <c r="B37" s="122" t="str">
        <f xml:space="preserve"> IF($B$2="Русский", X35,W35)</f>
        <v>Всего денежные потоки без инвестиций</v>
      </c>
      <c r="C37" s="123"/>
      <c r="D37" s="124">
        <f>D17+D26+D36</f>
        <v>0</v>
      </c>
      <c r="E37" s="124">
        <f>E17+E26+E36</f>
        <v>0</v>
      </c>
      <c r="F37" s="124">
        <f t="shared" ref="F37:I37" si="11">F17+F26+F36</f>
        <v>0</v>
      </c>
      <c r="G37" s="124">
        <f t="shared" si="11"/>
        <v>0</v>
      </c>
      <c r="H37" s="124">
        <f t="shared" si="11"/>
        <v>0</v>
      </c>
      <c r="I37" s="125">
        <f t="shared" si="11"/>
        <v>0</v>
      </c>
      <c r="V37" s="95" t="s">
        <v>52</v>
      </c>
      <c r="W37" s="90" t="s">
        <v>165</v>
      </c>
      <c r="X37" s="90" t="s">
        <v>110</v>
      </c>
    </row>
    <row r="38" spans="2:26" ht="15.5" thickTop="1" thickBot="1" x14ac:dyDescent="0.4">
      <c r="E38" t="s">
        <v>171</v>
      </c>
      <c r="F38" t="s">
        <v>172</v>
      </c>
      <c r="G38" t="s">
        <v>173</v>
      </c>
      <c r="H38" t="s">
        <v>174</v>
      </c>
      <c r="I38" t="s">
        <v>175</v>
      </c>
      <c r="V38" s="93"/>
      <c r="W38" s="90" t="s">
        <v>112</v>
      </c>
      <c r="X38" s="90" t="s">
        <v>111</v>
      </c>
    </row>
    <row r="39" spans="2:26" ht="15" thickTop="1" x14ac:dyDescent="0.35">
      <c r="C39" s="126" t="str">
        <f xml:space="preserve"> IF($B$2="Русский", X36,W36)</f>
        <v>Капитальные расходы</v>
      </c>
      <c r="D39" s="127"/>
      <c r="E39" s="127">
        <v>-16000</v>
      </c>
      <c r="F39" s="127">
        <v>0</v>
      </c>
      <c r="G39" s="127">
        <v>0</v>
      </c>
      <c r="H39" s="127">
        <v>0</v>
      </c>
      <c r="I39" s="128">
        <v>0</v>
      </c>
      <c r="V39" s="93" t="s">
        <v>56</v>
      </c>
      <c r="W39" s="94" t="s">
        <v>115</v>
      </c>
      <c r="X39" s="90" t="s">
        <v>116</v>
      </c>
    </row>
    <row r="40" spans="2:26" x14ac:dyDescent="0.35">
      <c r="C40" s="129" t="str">
        <f xml:space="preserve"> IF($B$2="Русский", X37,W37)</f>
        <v>Дополнительный оборотный капитал</v>
      </c>
      <c r="D40" s="76"/>
      <c r="E40" s="76">
        <v>-100</v>
      </c>
      <c r="F40" s="76">
        <v>-120</v>
      </c>
      <c r="G40" s="76">
        <v>-120</v>
      </c>
      <c r="H40" s="76">
        <v>-120</v>
      </c>
      <c r="I40" s="130">
        <v>-120</v>
      </c>
      <c r="W40" s="94" t="s">
        <v>117</v>
      </c>
      <c r="X40" s="90" t="s">
        <v>118</v>
      </c>
    </row>
    <row r="41" spans="2:26" ht="15" thickBot="1" x14ac:dyDescent="0.4">
      <c r="C41" s="131" t="str">
        <f t="shared" ref="C41" si="12" xml:space="preserve"> IF($B$2="Русский", X38,W38)</f>
        <v>Дополнительные продажи</v>
      </c>
      <c r="D41" s="132"/>
      <c r="E41" s="132">
        <v>3850</v>
      </c>
      <c r="F41" s="132">
        <v>4200</v>
      </c>
      <c r="G41" s="132">
        <v>4100</v>
      </c>
      <c r="H41" s="132">
        <v>4100</v>
      </c>
      <c r="I41" s="133">
        <v>4000</v>
      </c>
      <c r="W41" s="94" t="s">
        <v>166</v>
      </c>
      <c r="X41" s="90" t="s">
        <v>167</v>
      </c>
    </row>
    <row r="42" spans="2:26" ht="15.5" hidden="1" thickTop="1" thickBot="1" x14ac:dyDescent="0.4">
      <c r="E42" s="87">
        <f>E41+E39+E40</f>
        <v>-12250</v>
      </c>
      <c r="F42" s="85">
        <f t="shared" ref="F42:I42" si="13">F41+F39+F40</f>
        <v>4080</v>
      </c>
      <c r="G42" s="85">
        <f t="shared" si="13"/>
        <v>3980</v>
      </c>
      <c r="H42" s="85">
        <f t="shared" si="13"/>
        <v>3980</v>
      </c>
      <c r="I42" s="86">
        <f t="shared" si="13"/>
        <v>3880</v>
      </c>
      <c r="W42" s="94" t="s">
        <v>168</v>
      </c>
      <c r="X42" s="94" t="s">
        <v>169</v>
      </c>
    </row>
    <row r="43" spans="2:26" ht="15" thickTop="1" x14ac:dyDescent="0.35">
      <c r="C43" s="126" t="str">
        <f xml:space="preserve"> IF($B$2="Русский", X39,W39)</f>
        <v>Ставка дисконтирования</v>
      </c>
      <c r="D43" s="127"/>
      <c r="E43" s="139">
        <v>0.1</v>
      </c>
      <c r="W43" s="94"/>
      <c r="X43" s="94"/>
    </row>
    <row r="44" spans="2:26" x14ac:dyDescent="0.35">
      <c r="C44" s="134" t="str">
        <f xml:space="preserve"> IF($B$2="Русский", X41,W41)</f>
        <v>ЧПС (Чистая Привиденная Стоимость)</v>
      </c>
      <c r="D44" s="113"/>
      <c r="E44" s="135">
        <f>NPV(E43, E42:I42)</f>
        <v>353.33838349342426</v>
      </c>
    </row>
    <row r="45" spans="2:26" ht="15" thickBot="1" x14ac:dyDescent="0.4">
      <c r="C45" s="136" t="str">
        <f xml:space="preserve"> IF($B$2="Русский", X42,W42)</f>
        <v>IRR (Внутренняя норма доходности)</v>
      </c>
      <c r="D45" s="137"/>
      <c r="E45" s="138">
        <f>IRR(E42:I42)</f>
        <v>0.11469147027163107</v>
      </c>
    </row>
    <row r="46" spans="2:26" ht="15" thickTop="1" x14ac:dyDescent="0.35"/>
  </sheetData>
  <mergeCells count="2">
    <mergeCell ref="B6:C6"/>
    <mergeCell ref="B7:C7"/>
  </mergeCells>
  <dataValidations count="1">
    <dataValidation type="list" allowBlank="1" showInputMessage="1" showErrorMessage="1" sqref="B2" xr:uid="{00000000-0002-0000-0500-000000000000}">
      <formula1>Language</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28"/>
  <sheetViews>
    <sheetView workbookViewId="0">
      <selection activeCell="D19" sqref="D19"/>
    </sheetView>
  </sheetViews>
  <sheetFormatPr defaultRowHeight="14.5" x14ac:dyDescent="0.35"/>
  <cols>
    <col min="1" max="1" width="10" bestFit="1" customWidth="1"/>
    <col min="3" max="3" width="34.54296875" customWidth="1"/>
    <col min="4" max="4" width="11.90625" customWidth="1"/>
    <col min="5" max="5" width="11.08984375" customWidth="1"/>
    <col min="6" max="6" width="11.453125" customWidth="1"/>
    <col min="7" max="7" width="11.08984375" customWidth="1"/>
    <col min="8" max="8" width="10.90625" customWidth="1"/>
    <col min="9" max="9" width="11.08984375" customWidth="1"/>
    <col min="23" max="23" width="19" customWidth="1"/>
    <col min="24" max="24" width="8.90625" customWidth="1"/>
  </cols>
  <sheetData>
    <row r="2" spans="1:24" x14ac:dyDescent="0.35">
      <c r="A2" t="str">
        <f>IF($B$2="Русский", "Выберите:", "Select:")</f>
        <v>Выберите:</v>
      </c>
      <c r="B2" t="s">
        <v>7</v>
      </c>
    </row>
    <row r="3" spans="1:24" ht="15" thickBot="1" x14ac:dyDescent="0.4">
      <c r="C3" t="str">
        <f>IF(B2="Русский", "Название компании:", "Company name:")</f>
        <v>Название компании:</v>
      </c>
    </row>
    <row r="4" spans="1:24" ht="15" thickBot="1" x14ac:dyDescent="0.4">
      <c r="C4" t="str">
        <f>IF(B2="Русский", "Отчетный период:", "Reporting period:")</f>
        <v>Отчетный период:</v>
      </c>
      <c r="F4" t="s">
        <v>163</v>
      </c>
      <c r="W4" s="71" t="s">
        <v>8</v>
      </c>
      <c r="X4" t="s">
        <v>33</v>
      </c>
    </row>
    <row r="5" spans="1:24" ht="15" thickBot="1" x14ac:dyDescent="0.4">
      <c r="E5" t="str">
        <f>БО!F5</f>
        <v>KGS</v>
      </c>
      <c r="F5" t="s">
        <v>164</v>
      </c>
      <c r="W5" s="72" t="s">
        <v>9</v>
      </c>
      <c r="X5" t="s">
        <v>34</v>
      </c>
    </row>
    <row r="6" spans="1:24" ht="15" thickTop="1" x14ac:dyDescent="0.35">
      <c r="B6" s="196" t="str">
        <f>IF(B2="Русский", W4, X4)</f>
        <v xml:space="preserve">ПРИБЫЛИ И УБЫТКИ </v>
      </c>
      <c r="C6" s="197"/>
      <c r="D6" s="120" t="s">
        <v>170</v>
      </c>
      <c r="E6" s="63" t="s">
        <v>171</v>
      </c>
      <c r="F6" s="63" t="s">
        <v>172</v>
      </c>
      <c r="G6" s="63" t="s">
        <v>173</v>
      </c>
      <c r="H6" s="63" t="s">
        <v>174</v>
      </c>
      <c r="I6" s="64" t="s">
        <v>175</v>
      </c>
      <c r="W6" s="73"/>
    </row>
    <row r="7" spans="1:24" x14ac:dyDescent="0.35">
      <c r="B7" s="198" t="str">
        <f>IF(B2="Русский", W7, X7)</f>
        <v>Выручка</v>
      </c>
      <c r="C7" s="199"/>
      <c r="D7" s="121"/>
      <c r="E7" s="66"/>
      <c r="F7" s="66"/>
      <c r="G7" s="66"/>
      <c r="H7" s="66"/>
      <c r="I7" s="67"/>
      <c r="W7" s="74" t="s">
        <v>11</v>
      </c>
      <c r="X7" t="s">
        <v>14</v>
      </c>
    </row>
    <row r="8" spans="1:24" x14ac:dyDescent="0.35">
      <c r="B8" s="78" t="s">
        <v>35</v>
      </c>
      <c r="C8" s="66" t="str">
        <f>IF(B2="Русский", W8, X8)</f>
        <v>Себестоимость реализации</v>
      </c>
      <c r="D8" s="66"/>
      <c r="E8" s="66"/>
      <c r="F8" s="66"/>
      <c r="G8" s="66"/>
      <c r="H8" s="66"/>
      <c r="I8" s="67"/>
      <c r="W8" s="74" t="s">
        <v>12</v>
      </c>
      <c r="X8" t="s">
        <v>15</v>
      </c>
    </row>
    <row r="9" spans="1:24" x14ac:dyDescent="0.35">
      <c r="B9" s="198" t="str">
        <f>IF(B2="Русский",  W9, X9)</f>
        <v>Валовая прибыль</v>
      </c>
      <c r="C9" s="199"/>
      <c r="D9" s="66">
        <f>D7-D8</f>
        <v>0</v>
      </c>
      <c r="E9" s="66">
        <f>E7-E8</f>
        <v>0</v>
      </c>
      <c r="F9" s="66">
        <f t="shared" ref="F9:I9" si="0">F7-F8</f>
        <v>0</v>
      </c>
      <c r="G9" s="66">
        <f t="shared" si="0"/>
        <v>0</v>
      </c>
      <c r="H9" s="66">
        <f t="shared" si="0"/>
        <v>0</v>
      </c>
      <c r="I9" s="67">
        <f t="shared" si="0"/>
        <v>0</v>
      </c>
      <c r="W9" s="74" t="s">
        <v>13</v>
      </c>
      <c r="X9" t="s">
        <v>16</v>
      </c>
    </row>
    <row r="10" spans="1:24" x14ac:dyDescent="0.35">
      <c r="B10" s="78"/>
      <c r="C10" s="66" t="str">
        <f>IF(B2="Русский", W10, X10)</f>
        <v>Операционные расходы вкл.</v>
      </c>
      <c r="D10" s="66"/>
      <c r="E10" s="66"/>
      <c r="F10" s="66"/>
      <c r="G10" s="66"/>
      <c r="H10" s="66"/>
      <c r="I10" s="67"/>
      <c r="M10" t="s">
        <v>176</v>
      </c>
      <c r="W10" s="74" t="s">
        <v>43</v>
      </c>
      <c r="X10" t="s">
        <v>37</v>
      </c>
    </row>
    <row r="11" spans="1:24" x14ac:dyDescent="0.35">
      <c r="B11" s="78" t="s">
        <v>35</v>
      </c>
      <c r="C11" s="66" t="str">
        <f>IF(B2="Русский", W11, X11)</f>
        <v>Заработная плата</v>
      </c>
      <c r="D11" s="66"/>
      <c r="E11" s="66"/>
      <c r="F11" s="66"/>
      <c r="G11" s="66"/>
      <c r="H11" s="66"/>
      <c r="I11" s="67"/>
      <c r="W11" s="74" t="s">
        <v>17</v>
      </c>
      <c r="X11" t="s">
        <v>18</v>
      </c>
    </row>
    <row r="12" spans="1:24" x14ac:dyDescent="0.35">
      <c r="B12" s="78" t="s">
        <v>35</v>
      </c>
      <c r="C12" s="66" t="str">
        <f>IF(B2="Русский", W12, X12)</f>
        <v>Амортизация</v>
      </c>
      <c r="D12" s="66"/>
      <c r="E12" s="66"/>
      <c r="F12" s="66"/>
      <c r="G12" s="66"/>
      <c r="H12" s="66"/>
      <c r="I12" s="67"/>
      <c r="W12" s="74" t="s">
        <v>5</v>
      </c>
      <c r="X12" t="s">
        <v>23</v>
      </c>
    </row>
    <row r="13" spans="1:24" x14ac:dyDescent="0.35">
      <c r="B13" s="65" t="str">
        <f>IF(B2="Русский", W13, X13)</f>
        <v>Операционная прибыль</v>
      </c>
      <c r="C13" s="66"/>
      <c r="D13" s="66">
        <f>D9-D10</f>
        <v>0</v>
      </c>
      <c r="E13" s="66">
        <f t="shared" ref="E13:I13" si="1">E9-E10</f>
        <v>0</v>
      </c>
      <c r="F13" s="66">
        <f t="shared" si="1"/>
        <v>0</v>
      </c>
      <c r="G13" s="66">
        <f t="shared" si="1"/>
        <v>0</v>
      </c>
      <c r="H13" s="66">
        <f t="shared" si="1"/>
        <v>0</v>
      </c>
      <c r="I13" s="67">
        <f t="shared" si="1"/>
        <v>0</v>
      </c>
      <c r="W13" s="74" t="s">
        <v>36</v>
      </c>
      <c r="X13" t="s">
        <v>28</v>
      </c>
    </row>
    <row r="14" spans="1:24" x14ac:dyDescent="0.35">
      <c r="B14" s="78" t="s">
        <v>44</v>
      </c>
      <c r="C14" s="66" t="str">
        <f>IF(B2="Русский", W15, X15)</f>
        <v>Неоперационный доход</v>
      </c>
      <c r="D14" s="66"/>
      <c r="E14" s="66"/>
      <c r="F14" s="66"/>
      <c r="G14" s="66"/>
      <c r="H14" s="66"/>
      <c r="I14" s="67"/>
      <c r="W14" s="74" t="s">
        <v>19</v>
      </c>
      <c r="X14" t="s">
        <v>24</v>
      </c>
    </row>
    <row r="15" spans="1:24" x14ac:dyDescent="0.35">
      <c r="B15" s="78" t="s">
        <v>35</v>
      </c>
      <c r="C15" s="66" t="str">
        <f>IF(B2="Русский", W16, X16)</f>
        <v>Неоперационный расход</v>
      </c>
      <c r="D15" s="66"/>
      <c r="E15" s="66"/>
      <c r="F15" s="66"/>
      <c r="G15" s="66"/>
      <c r="H15" s="66"/>
      <c r="I15" s="67"/>
      <c r="W15" s="74" t="s">
        <v>20</v>
      </c>
      <c r="X15" t="s">
        <v>25</v>
      </c>
    </row>
    <row r="16" spans="1:24" x14ac:dyDescent="0.35">
      <c r="B16" s="78" t="s">
        <v>44</v>
      </c>
      <c r="C16" s="66" t="str">
        <f>IF(B2="Русский", W17, X17)</f>
        <v>Доходы (убытки) от курсовой разницы</v>
      </c>
      <c r="D16" s="66"/>
      <c r="E16" s="66"/>
      <c r="F16" s="66"/>
      <c r="G16" s="66"/>
      <c r="H16" s="66"/>
      <c r="I16" s="67"/>
      <c r="W16" s="74" t="s">
        <v>21</v>
      </c>
      <c r="X16" t="s">
        <v>26</v>
      </c>
    </row>
    <row r="17" spans="2:24" x14ac:dyDescent="0.35">
      <c r="B17" s="65" t="str">
        <f>IF(B2="Русский", W18, X18)</f>
        <v>Прибыль до налога</v>
      </c>
      <c r="C17" s="66"/>
      <c r="D17" s="66">
        <f>D13+D14-D15+D16</f>
        <v>0</v>
      </c>
      <c r="E17" s="66">
        <f t="shared" ref="E17:I17" si="2">E13+E14-E15+E16</f>
        <v>0</v>
      </c>
      <c r="F17" s="66">
        <f t="shared" si="2"/>
        <v>0</v>
      </c>
      <c r="G17" s="66">
        <f t="shared" si="2"/>
        <v>0</v>
      </c>
      <c r="H17" s="66">
        <f t="shared" si="2"/>
        <v>0</v>
      </c>
      <c r="I17" s="67">
        <f t="shared" si="2"/>
        <v>0</v>
      </c>
      <c r="W17" s="74" t="s">
        <v>22</v>
      </c>
      <c r="X17" t="s">
        <v>27</v>
      </c>
    </row>
    <row r="18" spans="2:24" x14ac:dyDescent="0.35">
      <c r="B18" s="65" t="s">
        <v>35</v>
      </c>
      <c r="C18" s="66" t="str">
        <f>IF(B2="Русский", W19, X19)</f>
        <v>Налог</v>
      </c>
      <c r="D18" s="66"/>
      <c r="E18" s="66"/>
      <c r="F18" s="66"/>
      <c r="G18" s="66"/>
      <c r="H18" s="66"/>
      <c r="I18" s="67"/>
      <c r="T18" s="76"/>
      <c r="U18" s="76"/>
      <c r="W18" s="74" t="s">
        <v>38</v>
      </c>
      <c r="X18" t="s">
        <v>29</v>
      </c>
    </row>
    <row r="19" spans="2:24" x14ac:dyDescent="0.35">
      <c r="B19" s="65" t="str">
        <f>IF(B2="Русский", W20, X20)</f>
        <v>Прибыль после налога вкл.</v>
      </c>
      <c r="C19" s="66"/>
      <c r="D19" s="66">
        <f>D17-D18</f>
        <v>0</v>
      </c>
      <c r="E19" s="66">
        <f t="shared" ref="E19:I19" si="3">E17-E18</f>
        <v>0</v>
      </c>
      <c r="F19" s="66">
        <f t="shared" si="3"/>
        <v>0</v>
      </c>
      <c r="G19" s="66">
        <f t="shared" si="3"/>
        <v>0</v>
      </c>
      <c r="H19" s="66">
        <f t="shared" si="3"/>
        <v>0</v>
      </c>
      <c r="I19" s="67">
        <f t="shared" si="3"/>
        <v>0</v>
      </c>
      <c r="T19" s="76"/>
      <c r="U19" s="77"/>
      <c r="W19" s="74" t="s">
        <v>41</v>
      </c>
      <c r="X19" t="s">
        <v>30</v>
      </c>
    </row>
    <row r="20" spans="2:24" x14ac:dyDescent="0.35">
      <c r="B20" s="65"/>
      <c r="C20" s="66" t="str">
        <f>IF(B2="Русский", W21,X21)</f>
        <v>Дивиденды</v>
      </c>
      <c r="D20" s="66"/>
      <c r="E20" s="66"/>
      <c r="F20" s="66"/>
      <c r="G20" s="66"/>
      <c r="H20" s="66"/>
      <c r="I20" s="67"/>
      <c r="T20" s="76"/>
      <c r="U20" s="77"/>
      <c r="W20" s="74" t="s">
        <v>40</v>
      </c>
      <c r="X20" t="s">
        <v>39</v>
      </c>
    </row>
    <row r="21" spans="2:24" ht="15" thickBot="1" x14ac:dyDescent="0.4">
      <c r="B21" s="68"/>
      <c r="C21" s="69" t="str">
        <f>IF(B2="Русский", W22, X22)</f>
        <v>Нераспределенная прибыль за год</v>
      </c>
      <c r="D21" s="69">
        <f>D19-D20</f>
        <v>0</v>
      </c>
      <c r="E21" s="69">
        <f t="shared" ref="E21:I21" si="4">E19-E20</f>
        <v>0</v>
      </c>
      <c r="F21" s="69">
        <f t="shared" si="4"/>
        <v>0</v>
      </c>
      <c r="G21" s="69">
        <f t="shared" si="4"/>
        <v>0</v>
      </c>
      <c r="H21" s="69">
        <f t="shared" si="4"/>
        <v>0</v>
      </c>
      <c r="I21" s="70">
        <f t="shared" si="4"/>
        <v>0</v>
      </c>
      <c r="T21" s="76"/>
      <c r="U21" s="76"/>
      <c r="W21" s="74" t="s">
        <v>42</v>
      </c>
      <c r="X21" t="s">
        <v>31</v>
      </c>
    </row>
    <row r="22" spans="2:24" ht="15.5" thickTop="1" thickBot="1" x14ac:dyDescent="0.4">
      <c r="T22" s="76"/>
      <c r="U22" s="76"/>
      <c r="W22" s="75" t="s">
        <v>10</v>
      </c>
      <c r="X22" t="s">
        <v>32</v>
      </c>
    </row>
    <row r="23" spans="2:24" x14ac:dyDescent="0.35">
      <c r="C23" s="113" t="str">
        <f>IF(B2="Русский", W24,X24)</f>
        <v>Возратность на активы</v>
      </c>
      <c r="D23" s="113"/>
      <c r="E23" s="114" t="e">
        <f>E19/БО!E24</f>
        <v>#DIV/0!</v>
      </c>
      <c r="F23" s="114" t="e">
        <f>F19/БО!F24</f>
        <v>#DIV/0!</v>
      </c>
      <c r="G23" s="114" t="e">
        <f>G19/БО!G24</f>
        <v>#DIV/0!</v>
      </c>
      <c r="H23" s="114" t="e">
        <f>H19/БО!H24</f>
        <v>#DIV/0!</v>
      </c>
      <c r="I23" s="114" t="e">
        <f>I19/БО!I24</f>
        <v>#DIV/0!</v>
      </c>
      <c r="T23" s="76"/>
      <c r="U23" s="76"/>
    </row>
    <row r="24" spans="2:24" ht="15.75" customHeight="1" x14ac:dyDescent="0.35">
      <c r="C24" s="113" t="str">
        <f>IF(B2="Русский", W25, X25)</f>
        <v>Рентабельность</v>
      </c>
      <c r="D24" s="113"/>
      <c r="E24" s="114" t="e">
        <f>E19/E7</f>
        <v>#DIV/0!</v>
      </c>
      <c r="F24" s="114" t="e">
        <f t="shared" ref="F24:I24" si="5">F19/F7</f>
        <v>#DIV/0!</v>
      </c>
      <c r="G24" s="114" t="e">
        <f t="shared" si="5"/>
        <v>#DIV/0!</v>
      </c>
      <c r="H24" s="114" t="e">
        <f t="shared" si="5"/>
        <v>#DIV/0!</v>
      </c>
      <c r="I24" s="114" t="e">
        <f t="shared" si="5"/>
        <v>#DIV/0!</v>
      </c>
      <c r="T24" s="76"/>
      <c r="U24" s="76"/>
      <c r="W24" s="77" t="s">
        <v>120</v>
      </c>
      <c r="X24" t="s">
        <v>119</v>
      </c>
    </row>
    <row r="25" spans="2:24" x14ac:dyDescent="0.35">
      <c r="T25" s="76"/>
      <c r="U25" s="76"/>
      <c r="W25" s="77" t="s">
        <v>121</v>
      </c>
      <c r="X25" t="s">
        <v>177</v>
      </c>
    </row>
    <row r="26" spans="2:24" x14ac:dyDescent="0.35">
      <c r="T26" s="76"/>
      <c r="U26" s="76"/>
      <c r="W26" s="76"/>
    </row>
    <row r="27" spans="2:24" x14ac:dyDescent="0.35">
      <c r="T27" s="76"/>
      <c r="U27" s="76"/>
      <c r="W27" s="77"/>
    </row>
    <row r="28" spans="2:24" x14ac:dyDescent="0.35">
      <c r="T28" s="76"/>
      <c r="U28" s="76"/>
    </row>
  </sheetData>
  <mergeCells count="3">
    <mergeCell ref="B6:C6"/>
    <mergeCell ref="B7:C7"/>
    <mergeCell ref="B9:C9"/>
  </mergeCells>
  <dataValidations count="1">
    <dataValidation type="list" allowBlank="1" showInputMessage="1" showErrorMessage="1" sqref="B2" xr:uid="{00000000-0002-0000-0400-000000000000}">
      <formula1>Language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73"/>
  <sheetViews>
    <sheetView workbookViewId="0">
      <selection activeCell="C17" sqref="C17"/>
    </sheetView>
  </sheetViews>
  <sheetFormatPr defaultRowHeight="14.5" x14ac:dyDescent="0.35"/>
  <cols>
    <col min="1" max="1" width="10" bestFit="1" customWidth="1"/>
    <col min="3" max="3" width="43.54296875" customWidth="1"/>
    <col min="4" max="4" width="11.54296875" customWidth="1"/>
    <col min="5" max="5" width="12.08984375" customWidth="1"/>
    <col min="6" max="6" width="11.08984375" customWidth="1"/>
    <col min="7" max="7" width="10.90625" customWidth="1"/>
    <col min="8" max="8" width="11.54296875" customWidth="1"/>
    <col min="9" max="9" width="12.90625" customWidth="1"/>
  </cols>
  <sheetData>
    <row r="2" spans="1:11" x14ac:dyDescent="0.35">
      <c r="A2" t="str">
        <f>IF($B$2="Русский", "Выберите:", "Select:")</f>
        <v>Выберите:</v>
      </c>
      <c r="B2" t="s">
        <v>7</v>
      </c>
    </row>
    <row r="3" spans="1:11" x14ac:dyDescent="0.35">
      <c r="C3" t="str">
        <f>IF(B2="Русский", "Название компании:", "Company name:")</f>
        <v>Название компании:</v>
      </c>
    </row>
    <row r="4" spans="1:11" x14ac:dyDescent="0.35">
      <c r="C4" t="str">
        <f>IF(B2="Русский", "Отчетный период:", "Reporting period:")</f>
        <v>Отчетный период:</v>
      </c>
      <c r="G4" t="s">
        <v>163</v>
      </c>
    </row>
    <row r="5" spans="1:11" ht="15" thickBot="1" x14ac:dyDescent="0.4">
      <c r="E5" s="79" t="s">
        <v>46</v>
      </c>
      <c r="F5" t="s">
        <v>45</v>
      </c>
      <c r="G5" t="s">
        <v>164</v>
      </c>
    </row>
    <row r="6" spans="1:11" ht="15" thickTop="1" x14ac:dyDescent="0.35">
      <c r="B6" s="200" t="str">
        <f>IF(B2="Русский", "АКТИВЫ", "ASSETS")</f>
        <v>АКТИВЫ</v>
      </c>
      <c r="C6" s="201"/>
      <c r="D6" s="120" t="s">
        <v>170</v>
      </c>
      <c r="E6" s="63" t="s">
        <v>171</v>
      </c>
      <c r="F6" s="63" t="s">
        <v>172</v>
      </c>
      <c r="G6" s="63" t="s">
        <v>173</v>
      </c>
      <c r="H6" s="63" t="s">
        <v>174</v>
      </c>
      <c r="I6" s="64" t="s">
        <v>175</v>
      </c>
    </row>
    <row r="7" spans="1:11" x14ac:dyDescent="0.35">
      <c r="B7" s="65" t="str">
        <f>IF(B2="Русский", "I. ОБОРОТНЫЕ АКТИВЫ", "I. CURRENT ASSETS")</f>
        <v>I. ОБОРОТНЫЕ АКТИВЫ</v>
      </c>
      <c r="C7" s="80"/>
      <c r="D7" s="80"/>
      <c r="E7" s="66"/>
      <c r="F7" s="66"/>
      <c r="G7" s="66"/>
      <c r="H7" s="66"/>
      <c r="I7" s="67"/>
    </row>
    <row r="8" spans="1:11" x14ac:dyDescent="0.35">
      <c r="B8" s="65"/>
      <c r="C8" s="80" t="str">
        <f>IF(B2="Русский", "Денежные средства и денежные эквиваленты", "Cash")</f>
        <v>Денежные средства и денежные эквиваленты</v>
      </c>
      <c r="D8" s="80"/>
      <c r="E8" s="66"/>
      <c r="F8" s="66"/>
      <c r="G8" s="66"/>
      <c r="H8" s="66"/>
      <c r="I8" s="67"/>
    </row>
    <row r="9" spans="1:11" x14ac:dyDescent="0.35">
      <c r="B9" s="65"/>
      <c r="C9" s="80" t="str">
        <f>IF(B2="Русский", "Счета к получению", "Accounts Receivable")</f>
        <v>Счета к получению</v>
      </c>
      <c r="D9" s="80"/>
      <c r="E9" s="66"/>
      <c r="F9" s="66"/>
      <c r="G9" s="66"/>
      <c r="H9" s="66"/>
      <c r="I9" s="67"/>
    </row>
    <row r="10" spans="1:11" x14ac:dyDescent="0.35">
      <c r="B10" s="65"/>
      <c r="C10" s="80" t="str">
        <f>IF(B2="Русский", "ТМЗ", "Inventory")</f>
        <v>ТМЗ</v>
      </c>
      <c r="D10" s="80"/>
      <c r="E10" s="66"/>
      <c r="F10" s="66"/>
      <c r="G10" s="66"/>
      <c r="H10" s="66"/>
      <c r="I10" s="67"/>
    </row>
    <row r="11" spans="1:11" x14ac:dyDescent="0.35">
      <c r="B11" s="65"/>
      <c r="C11" s="80" t="str">
        <f>IF(B2="Русский", "Сырье и метариалы", "Supplies")</f>
        <v>Сырье и метариалы</v>
      </c>
      <c r="D11" s="80"/>
      <c r="E11" s="66"/>
      <c r="F11" s="66"/>
      <c r="G11" s="66"/>
      <c r="H11" s="66"/>
      <c r="I11" s="67"/>
      <c r="K11" t="s">
        <v>176</v>
      </c>
    </row>
    <row r="12" spans="1:11" x14ac:dyDescent="0.35">
      <c r="B12" s="65"/>
      <c r="C12" s="80" t="str">
        <f>IF(B2="Русский", "Авансовые платежи", "Prepaid Accounts")</f>
        <v>Авансовые платежи</v>
      </c>
      <c r="D12" s="80"/>
      <c r="E12" s="66"/>
      <c r="F12" s="66"/>
      <c r="G12" s="66"/>
      <c r="H12" s="66"/>
      <c r="I12" s="67"/>
    </row>
    <row r="13" spans="1:11" x14ac:dyDescent="0.35">
      <c r="B13" s="65" t="str">
        <f>IF(B2="Русский", "Итого по разделу I. ОБОРОТНЫЕ АКТИВЫ", "Subtotal  I. CURRENT ASSETS")</f>
        <v>Итого по разделу I. ОБОРОТНЫЕ АКТИВЫ</v>
      </c>
      <c r="C13" s="80"/>
      <c r="D13" s="66">
        <f>SUM(D8:D12)</f>
        <v>0</v>
      </c>
      <c r="E13" s="66">
        <f>SUM(E8:E12)</f>
        <v>0</v>
      </c>
      <c r="F13" s="66">
        <f t="shared" ref="F13:I13" si="0">SUM(F8:F12)</f>
        <v>0</v>
      </c>
      <c r="G13" s="66">
        <f t="shared" si="0"/>
        <v>0</v>
      </c>
      <c r="H13" s="66">
        <f t="shared" si="0"/>
        <v>0</v>
      </c>
      <c r="I13" s="67">
        <f t="shared" si="0"/>
        <v>0</v>
      </c>
    </row>
    <row r="14" spans="1:11" x14ac:dyDescent="0.35">
      <c r="B14" s="65"/>
      <c r="C14" s="80"/>
      <c r="D14" s="66"/>
      <c r="E14" s="66"/>
      <c r="F14" s="66"/>
      <c r="G14" s="66"/>
      <c r="H14" s="66"/>
      <c r="I14" s="67"/>
    </row>
    <row r="15" spans="1:11" x14ac:dyDescent="0.35">
      <c r="B15" s="65" t="str">
        <f>IF(B2="Русский", "II. ВНЕОБОРОТНЫЕ АКТИВЫ", "II. LONG-TERM ASSETS")</f>
        <v>II. ВНЕОБОРОТНЫЕ АКТИВЫ</v>
      </c>
      <c r="C15" s="80"/>
      <c r="D15" s="66"/>
      <c r="E15" s="66"/>
      <c r="F15" s="66"/>
      <c r="G15" s="66"/>
      <c r="H15" s="66"/>
      <c r="I15" s="67"/>
    </row>
    <row r="16" spans="1:11" x14ac:dyDescent="0.35">
      <c r="B16" s="65"/>
      <c r="C16" s="80" t="str">
        <f>IF(B2="Русский", "Земля", "Land")</f>
        <v>Земля</v>
      </c>
      <c r="D16" s="66"/>
      <c r="E16" s="66"/>
      <c r="F16" s="66"/>
      <c r="G16" s="66"/>
      <c r="H16" s="66"/>
      <c r="I16" s="67"/>
    </row>
    <row r="17" spans="2:9" x14ac:dyDescent="0.35">
      <c r="B17" s="65"/>
      <c r="C17" s="80" t="str">
        <f>IF(B2="Русский", "Здания и сооружения", "Buildings and grounds")</f>
        <v>Здания и сооружения</v>
      </c>
      <c r="D17" s="66"/>
      <c r="E17" s="66"/>
      <c r="F17" s="66"/>
      <c r="G17" s="66"/>
      <c r="H17" s="66"/>
      <c r="I17" s="67"/>
    </row>
    <row r="18" spans="2:9" x14ac:dyDescent="0.35">
      <c r="B18" s="65"/>
      <c r="C18" s="80" t="str">
        <f>IF(B2="Русский", "Оборудование", "Equipment")</f>
        <v>Оборудование</v>
      </c>
      <c r="D18" s="66"/>
      <c r="E18" s="66"/>
      <c r="F18" s="66"/>
      <c r="G18" s="66"/>
      <c r="H18" s="66"/>
      <c r="I18" s="67"/>
    </row>
    <row r="19" spans="2:9" x14ac:dyDescent="0.35">
      <c r="B19" s="65"/>
      <c r="C19" s="80" t="str">
        <f>IF(B2="Русский", "Начисленная амортизация", "Depreciaiton")</f>
        <v>Начисленная амортизация</v>
      </c>
      <c r="D19" s="66"/>
      <c r="E19" s="66"/>
      <c r="F19" s="66"/>
      <c r="G19" s="66"/>
      <c r="H19" s="66"/>
      <c r="I19" s="67"/>
    </row>
    <row r="20" spans="2:9" x14ac:dyDescent="0.35">
      <c r="B20" s="65"/>
      <c r="C20" s="80" t="str">
        <f>IF(B2="Русский", "Нематериальные активы", "Intangible assets")</f>
        <v>Нематериальные активы</v>
      </c>
      <c r="D20" s="66"/>
      <c r="E20" s="66"/>
      <c r="F20" s="66"/>
      <c r="G20" s="66"/>
      <c r="H20" s="66"/>
      <c r="I20" s="67"/>
    </row>
    <row r="21" spans="2:9" x14ac:dyDescent="0.35">
      <c r="B21" s="65"/>
      <c r="C21" s="80" t="str">
        <f>IF(B2="Русский", "Долгосрочные инвестиции", "Long-term Investments")</f>
        <v>Долгосрочные инвестиции</v>
      </c>
      <c r="D21" s="66"/>
      <c r="E21" s="66"/>
      <c r="F21" s="66"/>
      <c r="G21" s="66"/>
      <c r="H21" s="66"/>
      <c r="I21" s="67"/>
    </row>
    <row r="22" spans="2:9" x14ac:dyDescent="0.35">
      <c r="B22" s="65" t="str">
        <f>IF(B2="Русский", "Итого по разделу I. ВНЕОБОРОТНЫЕ  АКТИВЫ", "Subtotal  I. LONG-TERM ASSETS")</f>
        <v>Итого по разделу I. ВНЕОБОРОТНЫЕ  АКТИВЫ</v>
      </c>
      <c r="C22" s="80"/>
      <c r="D22" s="66">
        <f>SUM(D16:D21)</f>
        <v>0</v>
      </c>
      <c r="E22" s="66">
        <f>SUM(E16:E21)</f>
        <v>0</v>
      </c>
      <c r="F22" s="66">
        <f t="shared" ref="F22:I22" si="1">SUM(F16:F21)</f>
        <v>0</v>
      </c>
      <c r="G22" s="66">
        <f t="shared" si="1"/>
        <v>0</v>
      </c>
      <c r="H22" s="66">
        <f t="shared" si="1"/>
        <v>0</v>
      </c>
      <c r="I22" s="67">
        <f t="shared" si="1"/>
        <v>0</v>
      </c>
    </row>
    <row r="23" spans="2:9" x14ac:dyDescent="0.35">
      <c r="B23" s="65"/>
      <c r="C23" s="80"/>
      <c r="D23" s="66"/>
      <c r="E23" s="66"/>
      <c r="F23" s="66"/>
      <c r="G23" s="66"/>
      <c r="H23" s="66"/>
      <c r="I23" s="67"/>
    </row>
    <row r="24" spans="2:9" ht="15" thickBot="1" x14ac:dyDescent="0.4">
      <c r="B24" s="203" t="str">
        <f>IF(B2="Русский", "БАЛАНС", "TOTAL ASSETS")</f>
        <v>БАЛАНС</v>
      </c>
      <c r="C24" s="204"/>
      <c r="D24" s="81">
        <f>D13+D22</f>
        <v>0</v>
      </c>
      <c r="E24" s="81">
        <f>E13+E22</f>
        <v>0</v>
      </c>
      <c r="F24" s="81">
        <f t="shared" ref="F24:I24" si="2">F13+F22</f>
        <v>0</v>
      </c>
      <c r="G24" s="81">
        <f t="shared" si="2"/>
        <v>0</v>
      </c>
      <c r="H24" s="81">
        <f t="shared" si="2"/>
        <v>0</v>
      </c>
      <c r="I24" s="82">
        <f t="shared" si="2"/>
        <v>0</v>
      </c>
    </row>
    <row r="25" spans="2:9" ht="15.5" thickTop="1" thickBot="1" x14ac:dyDescent="0.4">
      <c r="B25" s="87"/>
      <c r="C25" s="85"/>
      <c r="D25" s="85"/>
      <c r="E25" s="85"/>
      <c r="F25" s="85"/>
      <c r="G25" s="85"/>
      <c r="H25" s="85"/>
      <c r="I25" s="86"/>
    </row>
    <row r="26" spans="2:9" ht="15" thickTop="1" x14ac:dyDescent="0.35">
      <c r="B26" s="200" t="str">
        <f>IF(B2="Русский", "ОБЯЗАТЕЛЬСТВА &amp; КАПИТАЛ", "LIABILITIES &amp; EQUITY")</f>
        <v>ОБЯЗАТЕЛЬСТВА &amp; КАПИТАЛ</v>
      </c>
      <c r="C26" s="202"/>
      <c r="D26" s="118"/>
      <c r="E26" s="83"/>
      <c r="F26" s="83"/>
      <c r="G26" s="83"/>
      <c r="H26" s="83"/>
      <c r="I26" s="84"/>
    </row>
    <row r="27" spans="2:9" x14ac:dyDescent="0.35">
      <c r="B27" s="65" t="str">
        <f>IF(B2="Русский", "III. КРАТКОСРОЧНЫЕ ОБЯЗАТЕЛЬСТВА", "I. CURRENT LIABILITIES")</f>
        <v>III. КРАТКОСРОЧНЫЕ ОБЯЗАТЕЛЬСТВА</v>
      </c>
      <c r="C27" s="80"/>
      <c r="D27" s="80"/>
      <c r="E27" s="66"/>
      <c r="F27" s="66"/>
      <c r="G27" s="66"/>
      <c r="H27" s="66"/>
      <c r="I27" s="67"/>
    </row>
    <row r="28" spans="2:9" x14ac:dyDescent="0.35">
      <c r="B28" s="65"/>
      <c r="C28" s="80" t="str">
        <f>IF(B2="Русский", "Счета к оплате", "Accounts payable")</f>
        <v>Счета к оплате</v>
      </c>
      <c r="D28" s="80"/>
      <c r="E28" s="66"/>
      <c r="F28" s="66"/>
      <c r="G28" s="66"/>
      <c r="H28" s="66"/>
      <c r="I28" s="67"/>
    </row>
    <row r="29" spans="2:9" x14ac:dyDescent="0.35">
      <c r="B29" s="65"/>
      <c r="C29" s="80" t="str">
        <f>IF(B2="Русский", "Кредиты, займы и проценты к оплате", "Interest and s-t loans payable")</f>
        <v>Кредиты, займы и проценты к оплате</v>
      </c>
      <c r="D29" s="80"/>
      <c r="E29" s="66"/>
      <c r="F29" s="66"/>
      <c r="G29" s="66"/>
      <c r="H29" s="66"/>
      <c r="I29" s="67"/>
    </row>
    <row r="30" spans="2:9" x14ac:dyDescent="0.35">
      <c r="B30" s="65"/>
      <c r="C30" s="80" t="str">
        <f>IF(B2="Русский", "Налоги к оплате", "Taxes Payable")</f>
        <v>Налоги к оплате</v>
      </c>
      <c r="D30" s="80"/>
      <c r="E30" s="66"/>
      <c r="F30" s="66"/>
      <c r="G30" s="66"/>
      <c r="H30" s="66"/>
      <c r="I30" s="67"/>
    </row>
    <row r="31" spans="2:9" x14ac:dyDescent="0.35">
      <c r="B31" s="65"/>
      <c r="C31" s="80" t="str">
        <f>IF(B2="Русский", "Прочие", "Other")</f>
        <v>Прочие</v>
      </c>
      <c r="D31" s="80"/>
      <c r="E31" s="66"/>
      <c r="F31" s="66"/>
      <c r="G31" s="66"/>
      <c r="H31" s="66"/>
      <c r="I31" s="67"/>
    </row>
    <row r="32" spans="2:9" x14ac:dyDescent="0.35">
      <c r="B32" s="65" t="str">
        <f>IF(B2="Русский", "Итого по разделу III. КРАТКОСРОЧНЫЕ ОБЯЗАТЕЛЬСТВА", "Subtotal  III. CURRENT LIABILITIES")</f>
        <v>Итого по разделу III. КРАТКОСРОЧНЫЕ ОБЯЗАТЕЛЬСТВА</v>
      </c>
      <c r="C32" s="80"/>
      <c r="D32" s="80">
        <f>SUM(D28:D31)</f>
        <v>0</v>
      </c>
      <c r="E32" s="80">
        <f t="shared" ref="E32:I32" si="3">SUM(E28:E31)</f>
        <v>0</v>
      </c>
      <c r="F32" s="80">
        <f t="shared" si="3"/>
        <v>0</v>
      </c>
      <c r="G32" s="80">
        <f t="shared" si="3"/>
        <v>0</v>
      </c>
      <c r="H32" s="80">
        <f t="shared" si="3"/>
        <v>0</v>
      </c>
      <c r="I32" s="67">
        <f t="shared" si="3"/>
        <v>0</v>
      </c>
    </row>
    <row r="33" spans="2:9" x14ac:dyDescent="0.35">
      <c r="B33" s="65"/>
      <c r="C33" s="80"/>
      <c r="D33" s="80"/>
      <c r="E33" s="66"/>
      <c r="F33" s="66"/>
      <c r="G33" s="66"/>
      <c r="H33" s="66"/>
      <c r="I33" s="67"/>
    </row>
    <row r="34" spans="2:9" x14ac:dyDescent="0.35">
      <c r="B34" s="65" t="str">
        <f>IF(B2="Русский", "IV. ДОЛГОСРОЧНЫЕ ОБЯЗАТЕЛЬСТВА", "I. LONG-TERM LIABILITIES")</f>
        <v>IV. ДОЛГОСРОЧНЫЕ ОБЯЗАТЕЛЬСТВА</v>
      </c>
      <c r="C34" s="80"/>
      <c r="D34" s="80"/>
      <c r="E34" s="66"/>
      <c r="F34" s="66"/>
      <c r="G34" s="66"/>
      <c r="H34" s="66"/>
      <c r="I34" s="67"/>
    </row>
    <row r="35" spans="2:9" x14ac:dyDescent="0.35">
      <c r="B35" s="65"/>
      <c r="C35" s="80" t="str">
        <f>IF(B2="Русский", "Долгосрочные обязательства", "Long-term liabilities")</f>
        <v>Долгосрочные обязательства</v>
      </c>
      <c r="D35" s="80"/>
      <c r="E35" s="66"/>
      <c r="F35" s="66"/>
      <c r="G35" s="66"/>
      <c r="H35" s="66"/>
      <c r="I35" s="67"/>
    </row>
    <row r="36" spans="2:9" x14ac:dyDescent="0.35">
      <c r="B36" s="65" t="str">
        <f>IF(B2="Русский", "Итого по разделу IV. ДОЛГОСРОЧНЫЕ ОБЯЗАТЕЛЬСТВА", "Subtotal  I. LONG-TERM LIABILITIES")</f>
        <v>Итого по разделу IV. ДОЛГОСРОЧНЫЕ ОБЯЗАТЕЛЬСТВА</v>
      </c>
      <c r="C36" s="80"/>
      <c r="D36" s="80">
        <f>SUM(D35)</f>
        <v>0</v>
      </c>
      <c r="E36" s="80">
        <f t="shared" ref="E36:I36" si="4">SUM(E35)</f>
        <v>0</v>
      </c>
      <c r="F36" s="80">
        <f t="shared" si="4"/>
        <v>0</v>
      </c>
      <c r="G36" s="80">
        <f t="shared" si="4"/>
        <v>0</v>
      </c>
      <c r="H36" s="80">
        <f t="shared" si="4"/>
        <v>0</v>
      </c>
      <c r="I36" s="67">
        <f t="shared" si="4"/>
        <v>0</v>
      </c>
    </row>
    <row r="37" spans="2:9" x14ac:dyDescent="0.35">
      <c r="B37" s="65"/>
      <c r="C37" s="80"/>
      <c r="D37" s="80"/>
      <c r="E37" s="66"/>
      <c r="F37" s="66"/>
      <c r="G37" s="66"/>
      <c r="H37" s="66"/>
      <c r="I37" s="67"/>
    </row>
    <row r="38" spans="2:9" x14ac:dyDescent="0.35">
      <c r="B38" s="65" t="str">
        <f>IF(B2="Русский", "V. СОБСТВЕННЫЙ КАПИТАЛ", "V. EQUITY")</f>
        <v>V. СОБСТВЕННЫЙ КАПИТАЛ</v>
      </c>
      <c r="C38" s="80"/>
      <c r="D38" s="80"/>
      <c r="E38" s="66"/>
      <c r="F38" s="66"/>
      <c r="G38" s="66"/>
      <c r="H38" s="66"/>
      <c r="I38" s="67"/>
    </row>
    <row r="39" spans="2:9" x14ac:dyDescent="0.35">
      <c r="B39" s="65"/>
      <c r="C39" s="80" t="str">
        <f>IF(B2="Русский", "Простые акции", "Common Stock")</f>
        <v>Простые акции</v>
      </c>
      <c r="D39" s="80"/>
      <c r="E39" s="66"/>
      <c r="F39" s="66"/>
      <c r="G39" s="66"/>
      <c r="H39" s="66"/>
      <c r="I39" s="67"/>
    </row>
    <row r="40" spans="2:9" x14ac:dyDescent="0.35">
      <c r="B40" s="65"/>
      <c r="C40" s="80" t="str">
        <f>IF(B2="Русский", "Нераспределенная прибыль", "Retained earnings")</f>
        <v>Нераспределенная прибыль</v>
      </c>
      <c r="D40" s="80">
        <f>ОПУ!D21</f>
        <v>0</v>
      </c>
      <c r="E40" s="80">
        <f>ОПУ!E21</f>
        <v>0</v>
      </c>
      <c r="F40" s="80">
        <f>ОПУ!F21</f>
        <v>0</v>
      </c>
      <c r="G40" s="80">
        <f>ОПУ!G21</f>
        <v>0</v>
      </c>
      <c r="H40" s="80">
        <f>ОПУ!H21</f>
        <v>0</v>
      </c>
      <c r="I40" s="67">
        <f>ОПУ!I21</f>
        <v>0</v>
      </c>
    </row>
    <row r="41" spans="2:9" x14ac:dyDescent="0.35">
      <c r="B41" s="65" t="str">
        <f>IF(B2="Русский", "Итого по разделу V. СОБСТВЕННЫЙ КАПИТАЛ", "Subtotal  V. OWN EQUITY")</f>
        <v>Итого по разделу V. СОБСТВЕННЫЙ КАПИТАЛ</v>
      </c>
      <c r="C41" s="80"/>
      <c r="D41" s="80">
        <f>SUM(D39:D40)</f>
        <v>0</v>
      </c>
      <c r="E41" s="80">
        <f t="shared" ref="E41:I41" si="5">SUM(E39:E40)</f>
        <v>0</v>
      </c>
      <c r="F41" s="80">
        <f t="shared" si="5"/>
        <v>0</v>
      </c>
      <c r="G41" s="80">
        <f t="shared" si="5"/>
        <v>0</v>
      </c>
      <c r="H41" s="80">
        <f t="shared" si="5"/>
        <v>0</v>
      </c>
      <c r="I41" s="67">
        <f t="shared" si="5"/>
        <v>0</v>
      </c>
    </row>
    <row r="42" spans="2:9" x14ac:dyDescent="0.35">
      <c r="B42" s="65"/>
      <c r="C42" s="80"/>
      <c r="D42" s="80"/>
      <c r="E42" s="66"/>
      <c r="F42" s="66"/>
      <c r="G42" s="66"/>
      <c r="H42" s="66"/>
      <c r="I42" s="67"/>
    </row>
    <row r="43" spans="2:9" x14ac:dyDescent="0.35">
      <c r="B43" s="65"/>
      <c r="C43" s="80"/>
      <c r="D43" s="80"/>
      <c r="E43" s="66"/>
      <c r="F43" s="66"/>
      <c r="G43" s="66"/>
      <c r="H43" s="66"/>
      <c r="I43" s="67"/>
    </row>
    <row r="44" spans="2:9" ht="15" thickBot="1" x14ac:dyDescent="0.4">
      <c r="B44" s="203" t="str">
        <f>IF(B2="Русский", "БАЛАНС", "TOTAL LIABILITIES &amp; EQUITY")</f>
        <v>БАЛАНС</v>
      </c>
      <c r="C44" s="205"/>
      <c r="D44" s="119">
        <f>D32+D36+D41</f>
        <v>0</v>
      </c>
      <c r="E44" s="119">
        <f t="shared" ref="E44:I44" si="6">E32+E36+E41</f>
        <v>0</v>
      </c>
      <c r="F44" s="119">
        <f t="shared" si="6"/>
        <v>0</v>
      </c>
      <c r="G44" s="119">
        <f t="shared" si="6"/>
        <v>0</v>
      </c>
      <c r="H44" s="119">
        <f t="shared" si="6"/>
        <v>0</v>
      </c>
      <c r="I44" s="140">
        <f t="shared" si="6"/>
        <v>0</v>
      </c>
    </row>
    <row r="45" spans="2:9" ht="15" thickTop="1" x14ac:dyDescent="0.35"/>
    <row r="46" spans="2:9" x14ac:dyDescent="0.35">
      <c r="C46" t="str">
        <f>IF(B2="Русский", "Долговое бремя (долговые обязательства/активы)", "Debt-to-Asset Ratio")</f>
        <v>Долговое бремя (долговые обязательства/активы)</v>
      </c>
      <c r="E46" s="112" t="e">
        <f>(E35+E29)/E24</f>
        <v>#DIV/0!</v>
      </c>
    </row>
    <row r="69" spans="1:1" x14ac:dyDescent="0.35">
      <c r="A69" t="s">
        <v>7</v>
      </c>
    </row>
    <row r="70" spans="1:1" x14ac:dyDescent="0.35">
      <c r="A70" t="s">
        <v>6</v>
      </c>
    </row>
    <row r="72" spans="1:1" x14ac:dyDescent="0.35">
      <c r="A72" t="s">
        <v>1</v>
      </c>
    </row>
    <row r="73" spans="1:1" x14ac:dyDescent="0.35">
      <c r="A73" t="s">
        <v>45</v>
      </c>
    </row>
  </sheetData>
  <mergeCells count="4">
    <mergeCell ref="B6:C6"/>
    <mergeCell ref="B26:C26"/>
    <mergeCell ref="B24:C24"/>
    <mergeCell ref="B44:C44"/>
  </mergeCells>
  <dataValidations count="2">
    <dataValidation type="list" allowBlank="1" showInputMessage="1" showErrorMessage="1" sqref="B2" xr:uid="{00000000-0002-0000-0300-000000000000}">
      <formula1>Language</formula1>
    </dataValidation>
    <dataValidation type="list" allowBlank="1" showInputMessage="1" showErrorMessage="1" sqref="F5" xr:uid="{00000000-0002-0000-0300-000001000000}">
      <formula1>Currency</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2:O34"/>
  <sheetViews>
    <sheetView topLeftCell="A4" workbookViewId="0">
      <selection activeCell="N4" sqref="N4"/>
    </sheetView>
  </sheetViews>
  <sheetFormatPr defaultRowHeight="14.5" x14ac:dyDescent="0.35"/>
  <cols>
    <col min="1" max="1" width="10" bestFit="1" customWidth="1"/>
    <col min="2" max="2" width="6.54296875" bestFit="1" customWidth="1"/>
    <col min="3" max="3" width="31.54296875" customWidth="1"/>
    <col min="4" max="4" width="16.90625" customWidth="1"/>
    <col min="5" max="9" width="14" customWidth="1"/>
    <col min="10" max="10" width="15" customWidth="1"/>
    <col min="11" max="11" width="7.90625" customWidth="1"/>
    <col min="12" max="12" width="29.54296875" customWidth="1"/>
    <col min="13" max="13" width="14.54296875" customWidth="1"/>
    <col min="14" max="15" width="13.90625" customWidth="1"/>
  </cols>
  <sheetData>
    <row r="2" spans="1:14" x14ac:dyDescent="0.35">
      <c r="A2" t="str">
        <f>IF($B$2="Русский", "Выберите:", "Select:")</f>
        <v>Select:</v>
      </c>
      <c r="B2" t="s">
        <v>6</v>
      </c>
    </row>
    <row r="4" spans="1:14" ht="29" x14ac:dyDescent="0.5">
      <c r="C4" s="39" t="str">
        <f>IF($B$2="Русский", "Финансовое резюме партнерств с предприятиями", "Enterprise Partnership Financial Summary")</f>
        <v>Enterprise Partnership Financial Summary</v>
      </c>
      <c r="D4" s="39"/>
      <c r="I4" t="str">
        <f>IF($B$2="Русский", "Валюта:", "Currency:")</f>
        <v>Currency:</v>
      </c>
      <c r="J4" t="str">
        <f>IF($B$2="Русский", "*Тысячи Сом, если не указано иное", "Thousand Kyrgyz Soms, unless otherwise stated")</f>
        <v>Thousand Kyrgyz Soms, unless otherwise stated</v>
      </c>
      <c r="M4" s="167" t="str">
        <f>IF($B$2="Русский", "Курс валют 
(1 октября 18)", "Exchange rate
(Oct 1, 18)")</f>
        <v>Exchange rate
(Oct 1, 18)</v>
      </c>
      <c r="N4" s="168">
        <v>69.277299999999997</v>
      </c>
    </row>
    <row r="5" spans="1:14" x14ac:dyDescent="0.35">
      <c r="C5" s="2"/>
      <c r="D5" s="2"/>
      <c r="E5" s="2"/>
      <c r="F5" s="2"/>
      <c r="G5" s="2"/>
      <c r="H5" s="2"/>
      <c r="I5" s="2"/>
    </row>
    <row r="6" spans="1:14" x14ac:dyDescent="0.35">
      <c r="C6" s="18" t="str">
        <f>IF($B$2="Русский", "ПРОДАЖИ", "SALES")</f>
        <v>SALES</v>
      </c>
      <c r="D6" s="19" t="str">
        <f>IF($B$2="Русский", "Год 0", "Year 0")</f>
        <v>Year 0</v>
      </c>
      <c r="E6" s="19" t="str">
        <f>IF($B$2="Русский", "Год 1", "Year 1")</f>
        <v>Year 1</v>
      </c>
      <c r="F6" s="19" t="str">
        <f>IF($B$2="Русский", "Год 2", "Year 2")</f>
        <v>Year 2</v>
      </c>
      <c r="G6" s="19" t="str">
        <f>IF($B$2="Русский", "Год 3", "Year 3")</f>
        <v>Year 3</v>
      </c>
      <c r="H6" s="19" t="str">
        <f>IF($B$2="Русский", "Год 4", "Year 4")</f>
        <v>Year 4</v>
      </c>
      <c r="I6" s="19" t="str">
        <f>IF($B$2="Русский", "Год 5", "Year 5")</f>
        <v>Year 5</v>
      </c>
      <c r="J6" s="20" t="str">
        <f>IF($B$2="Русский", "Итого (Г1-Г5)", "Total (Y1-Y5)")</f>
        <v>Total (Y1-Y5)</v>
      </c>
      <c r="L6" s="3" t="str">
        <f>IF($B$2="Русский", "ВКЛАД СТОРОН", "COST-SHARE")</f>
        <v>COST-SHARE</v>
      </c>
      <c r="M6" s="25" t="str">
        <f>IF($B$2="Русский", "Доллары США", "USD")</f>
        <v>USD</v>
      </c>
      <c r="N6" s="26" t="s">
        <v>0</v>
      </c>
    </row>
    <row r="7" spans="1:14" x14ac:dyDescent="0.35">
      <c r="C7" s="4" t="str">
        <f>IF($B$2="Русский", "Текущий сценарий (без ЮСАИД)", "Existing scenario (w/out USAID)")</f>
        <v>Existing scenario (w/out USAID)</v>
      </c>
      <c r="D7" s="141">
        <f>ОПУ!D7</f>
        <v>0</v>
      </c>
      <c r="E7" s="5"/>
      <c r="F7" s="6"/>
      <c r="G7" s="5"/>
      <c r="H7" s="6"/>
      <c r="I7" s="5"/>
      <c r="J7" s="7">
        <f>SUM(E7:I7)</f>
        <v>0</v>
      </c>
      <c r="L7" s="27" t="str">
        <f>IF($B$2="Русский", "Ден.Вклад Партнера", "Partner Cash")</f>
        <v>Partner Cash</v>
      </c>
      <c r="M7" s="169">
        <f>Бюджет!I34*1000/$N$4</f>
        <v>0</v>
      </c>
      <c r="N7" s="28" t="e">
        <f>M7/M11</f>
        <v>#DIV/0!</v>
      </c>
    </row>
    <row r="8" spans="1:14" x14ac:dyDescent="0.35">
      <c r="A8" t="s">
        <v>176</v>
      </c>
      <c r="C8" s="4" t="str">
        <f>IF($B$2="Русский", "Прогнозируемый (с USAID)", "Projected (with USAID)")</f>
        <v>Projected (with USAID)</v>
      </c>
      <c r="D8" s="141">
        <f>ОПУ!D7</f>
        <v>0</v>
      </c>
      <c r="E8" s="5">
        <f>ОПУ!E7</f>
        <v>0</v>
      </c>
      <c r="F8" s="6">
        <f>ОПУ!F7</f>
        <v>0</v>
      </c>
      <c r="G8" s="5">
        <f>ОПУ!G7</f>
        <v>0</v>
      </c>
      <c r="H8" s="6">
        <f>ОПУ!H7</f>
        <v>0</v>
      </c>
      <c r="I8" s="5">
        <f>ОПУ!I7</f>
        <v>0</v>
      </c>
      <c r="J8" s="7">
        <f>SUM(E8:I8)</f>
        <v>0</v>
      </c>
      <c r="L8" s="27" t="str">
        <f>IF($B$2="Русский", "Натур.Вклад Партнера", "Partner In-Kind")</f>
        <v>Partner In-Kind</v>
      </c>
      <c r="M8" s="170">
        <f>Бюджет!J34*1000/N4</f>
        <v>0</v>
      </c>
      <c r="N8" s="28" t="e">
        <f>M8/M11</f>
        <v>#DIV/0!</v>
      </c>
    </row>
    <row r="9" spans="1:14" x14ac:dyDescent="0.35">
      <c r="C9" s="21" t="str">
        <f>IF($B$2="Русский", "Дополнительные", "Incremental")</f>
        <v>Incremental</v>
      </c>
      <c r="D9" s="22">
        <f>D8-D7</f>
        <v>0</v>
      </c>
      <c r="E9" s="22">
        <f>E8-E7</f>
        <v>0</v>
      </c>
      <c r="F9" s="22">
        <f t="shared" ref="F9:J9" si="0">F8-F7</f>
        <v>0</v>
      </c>
      <c r="G9" s="22">
        <f t="shared" si="0"/>
        <v>0</v>
      </c>
      <c r="H9" s="22">
        <f t="shared" si="0"/>
        <v>0</v>
      </c>
      <c r="I9" s="22">
        <f t="shared" si="0"/>
        <v>0</v>
      </c>
      <c r="J9" s="23">
        <f t="shared" si="0"/>
        <v>0</v>
      </c>
      <c r="L9" s="31" t="str">
        <f>IF($B$2="Русский", "Ден.Вклад USAID", "USAID Cash")</f>
        <v>USAID Cash</v>
      </c>
      <c r="M9" s="32">
        <f>Бюджет!G34*1000/$N$4</f>
        <v>0</v>
      </c>
      <c r="N9" s="33" t="e">
        <f>M9/M11</f>
        <v>#DIV/0!</v>
      </c>
    </row>
    <row r="10" spans="1:14" x14ac:dyDescent="0.35">
      <c r="C10" s="8" t="str">
        <f>IF($B$2="Русский", "Увеличение (%)", "Increase (%)")</f>
        <v>Increase (%)</v>
      </c>
      <c r="D10" s="9" t="e">
        <f>D9/D7</f>
        <v>#DIV/0!</v>
      </c>
      <c r="E10" s="9" t="e">
        <f>E9/E7</f>
        <v>#DIV/0!</v>
      </c>
      <c r="F10" s="10" t="e">
        <f t="shared" ref="F10:I10" si="1">F9/F7</f>
        <v>#DIV/0!</v>
      </c>
      <c r="G10" s="9" t="e">
        <f t="shared" si="1"/>
        <v>#DIV/0!</v>
      </c>
      <c r="H10" s="10" t="e">
        <f t="shared" si="1"/>
        <v>#DIV/0!</v>
      </c>
      <c r="I10" s="9" t="e">
        <f t="shared" si="1"/>
        <v>#DIV/0!</v>
      </c>
      <c r="J10" s="11" t="e">
        <f>J9/J7</f>
        <v>#DIV/0!</v>
      </c>
      <c r="L10" s="31" t="str">
        <f>IF($B$2="Русский", "Натур.Вклад USAID", "USAID In-Kind")</f>
        <v>USAID In-Kind</v>
      </c>
      <c r="M10" s="32">
        <f>Бюджет!H34*1000/N4</f>
        <v>0</v>
      </c>
      <c r="N10" s="33" t="e">
        <f>M10/M11</f>
        <v>#DIV/0!</v>
      </c>
    </row>
    <row r="11" spans="1:14" x14ac:dyDescent="0.35">
      <c r="E11" s="1"/>
      <c r="F11" s="1"/>
      <c r="G11" s="1"/>
      <c r="H11" s="1"/>
      <c r="I11" s="1"/>
      <c r="L11" s="34" t="str">
        <f>IF($B$2="Русский", "Итого", "Total")</f>
        <v>Total</v>
      </c>
      <c r="M11" s="29">
        <f>SUM(M7:M10)</f>
        <v>0</v>
      </c>
      <c r="N11" s="30">
        <f>SUM(M11)</f>
        <v>0</v>
      </c>
    </row>
    <row r="12" spans="1:14" x14ac:dyDescent="0.35">
      <c r="C12" s="12" t="str">
        <f>IF($B$2="Русский", "РАБОЧИЕ МЕСТА", "EMPLOYMENT")</f>
        <v>EMPLOYMENT</v>
      </c>
      <c r="D12" s="147" t="str">
        <f>IF($B$2="Русский", "Год 0", "Year 0")</f>
        <v>Year 0</v>
      </c>
      <c r="E12" s="13" t="str">
        <f>IF($B$2="Русский", "Год 1", "Year 1")</f>
        <v>Year 1</v>
      </c>
      <c r="F12" s="13" t="str">
        <f>IF($B$2="Русский", "Год 2", "Year 2")</f>
        <v>Year 2</v>
      </c>
      <c r="G12" s="13" t="str">
        <f>IF($B$2="Русский", "Год 3", "Year 3")</f>
        <v>Year 3</v>
      </c>
      <c r="H12" s="13" t="str">
        <f>IF($B$2="Русский", "Год 4", "Year 4")</f>
        <v>Year 4</v>
      </c>
      <c r="I12" s="13" t="str">
        <f>IF($B$2="Русский", "Год 5", "Year 5")</f>
        <v>Year 5</v>
      </c>
      <c r="J12" s="14" t="str">
        <f>IF($B$2="Русский", "Итого (Г1-Г5)", "Total (Y1-Y5)")</f>
        <v>Total (Y1-Y5)</v>
      </c>
    </row>
    <row r="13" spans="1:14" x14ac:dyDescent="0.35">
      <c r="C13" s="4" t="str">
        <f>IF($B$2="Русский", "Текущий сценарий (без ЮСАИД)", "Existing scenario (w/out USAID)")</f>
        <v>Existing scenario (w/out USAID)</v>
      </c>
      <c r="D13" s="141"/>
      <c r="E13" s="5"/>
      <c r="F13" s="6"/>
      <c r="G13" s="5"/>
      <c r="H13" s="6"/>
      <c r="I13" s="5"/>
      <c r="J13" s="7">
        <f>SUM(E13:I13)</f>
        <v>0</v>
      </c>
      <c r="L13" s="3" t="str">
        <f>IF($B$2="Русский", "ЛЕВЕРАДЖ", "LEVERAGE")</f>
        <v>LEVERAGE</v>
      </c>
      <c r="M13" s="25" t="str">
        <f>IF($B$2="Русский", "Доллары США", "USD")</f>
        <v>USD</v>
      </c>
      <c r="N13" s="26" t="s">
        <v>0</v>
      </c>
    </row>
    <row r="14" spans="1:14" x14ac:dyDescent="0.35">
      <c r="C14" s="4" t="str">
        <f>IF($B$2="Русский", "Прогнозируемый (с USAID)", "Projected (with USAID)")</f>
        <v>Projected (with USAID)</v>
      </c>
      <c r="D14" s="141"/>
      <c r="E14" s="5"/>
      <c r="F14" s="6"/>
      <c r="G14" s="5"/>
      <c r="H14" s="6"/>
      <c r="I14" s="5"/>
      <c r="J14" s="7">
        <f>SUM(E14:I14)</f>
        <v>0</v>
      </c>
      <c r="L14" s="27" t="str">
        <f>IF($B$2="Русский", "Зар.платы", "Salaries")</f>
        <v>Salaries</v>
      </c>
      <c r="M14" s="171">
        <f>SUM(Бюджет!I6:J6)*1000/$N$4</f>
        <v>0</v>
      </c>
      <c r="N14" s="28" t="e">
        <f>M14/$M$21</f>
        <v>#DIV/0!</v>
      </c>
    </row>
    <row r="15" spans="1:14" x14ac:dyDescent="0.35">
      <c r="C15" s="15" t="str">
        <f>IF($B$2="Русский", "Дополнительные", "Incremental")</f>
        <v>Incremental</v>
      </c>
      <c r="D15" s="143"/>
      <c r="E15" s="16">
        <f>E14-E13</f>
        <v>0</v>
      </c>
      <c r="F15" s="16">
        <f t="shared" ref="F15" si="2">F14-F13</f>
        <v>0</v>
      </c>
      <c r="G15" s="16">
        <f t="shared" ref="G15" si="3">G14-G13</f>
        <v>0</v>
      </c>
      <c r="H15" s="16">
        <f t="shared" ref="H15" si="4">H14-H13</f>
        <v>0</v>
      </c>
      <c r="I15" s="16">
        <f t="shared" ref="I15" si="5">I14-I13</f>
        <v>0</v>
      </c>
      <c r="J15" s="17">
        <f t="shared" ref="J15" si="6">J14-J13</f>
        <v>0</v>
      </c>
      <c r="L15" s="27" t="str">
        <f>IF($B$2="Русский", "Оборудование", "Equipment")</f>
        <v>Equipment</v>
      </c>
      <c r="M15" s="170">
        <f>SUM(Бюджет!I11:J11)*1000/$N$4</f>
        <v>0</v>
      </c>
      <c r="N15" s="28" t="e">
        <f t="shared" ref="N15:N20" si="7">M15/$M$21</f>
        <v>#DIV/0!</v>
      </c>
    </row>
    <row r="16" spans="1:14" x14ac:dyDescent="0.35">
      <c r="C16" s="8" t="str">
        <f>IF($B$2="Русский", "Увеличение (%)", "Increase (%)")</f>
        <v>Increase (%)</v>
      </c>
      <c r="D16" s="142"/>
      <c r="E16" s="9" t="e">
        <f>E15/E13</f>
        <v>#DIV/0!</v>
      </c>
      <c r="F16" s="10" t="e">
        <f t="shared" ref="F16" si="8">F15/F13</f>
        <v>#DIV/0!</v>
      </c>
      <c r="G16" s="9" t="e">
        <f t="shared" ref="G16" si="9">G15/G13</f>
        <v>#DIV/0!</v>
      </c>
      <c r="H16" s="10" t="e">
        <f t="shared" ref="H16" si="10">H15/H13</f>
        <v>#DIV/0!</v>
      </c>
      <c r="I16" s="9" t="e">
        <f t="shared" ref="I16" si="11">I15/I13</f>
        <v>#DIV/0!</v>
      </c>
      <c r="J16" s="11" t="e">
        <f t="shared" ref="J16" si="12">J15/J13</f>
        <v>#DIV/0!</v>
      </c>
      <c r="L16" s="27" t="str">
        <f>IF($B$2="Русский", "Земля/Строительство", "Land/Construction")</f>
        <v>Land/Construction</v>
      </c>
      <c r="M16" s="170">
        <f>SUM(Бюджет!I17:J17)*1000/$N$4</f>
        <v>0</v>
      </c>
      <c r="N16" s="28" t="e">
        <f t="shared" si="7"/>
        <v>#DIV/0!</v>
      </c>
    </row>
    <row r="17" spans="3:15" x14ac:dyDescent="0.35">
      <c r="E17" s="1"/>
      <c r="F17" s="1"/>
      <c r="G17" s="1"/>
      <c r="H17" s="1"/>
      <c r="I17" s="1"/>
      <c r="L17" s="27" t="str">
        <f>IF($B$2="Русский", "Профессиональные Услуги", "Professional Services")</f>
        <v>Professional Services</v>
      </c>
      <c r="M17" s="170">
        <f>SUM(Бюджет!I21:J21)*1000/$N$4</f>
        <v>0</v>
      </c>
      <c r="N17" s="28" t="e">
        <f t="shared" si="7"/>
        <v>#DIV/0!</v>
      </c>
    </row>
    <row r="18" spans="3:15" x14ac:dyDescent="0.35">
      <c r="C18" s="50" t="str">
        <f>IF($B$2="Русский", "ПРИБЫЛЬ", "PROFIT")</f>
        <v>PROFIT</v>
      </c>
      <c r="D18" s="148" t="str">
        <f>IF($B$2="Русский", "Год 0", "Year 0")</f>
        <v>Year 0</v>
      </c>
      <c r="E18" s="51" t="str">
        <f>IF($B$2="Русский", "Год 1", "Year 1")</f>
        <v>Year 1</v>
      </c>
      <c r="F18" s="51" t="str">
        <f>IF($B$2="Русский", "Год 2", "Year 2")</f>
        <v>Year 2</v>
      </c>
      <c r="G18" s="51" t="str">
        <f>IF($B$2="Русский", "Год 3", "Year 3")</f>
        <v>Year 3</v>
      </c>
      <c r="H18" s="51" t="str">
        <f>IF($B$2="Русский", "Год 4", "Year 4")</f>
        <v>Year 4</v>
      </c>
      <c r="I18" s="51" t="str">
        <f>IF($B$2="Русский", "Год 5", "Year 5")</f>
        <v>Year 5</v>
      </c>
      <c r="J18" s="52" t="str">
        <f>IF($B$2="Русский", "Итого (Г1-Г5)", "Total (Y1-Y5)")</f>
        <v>Total (Y1-Y5)</v>
      </c>
      <c r="L18" s="27" t="str">
        <f>IF($B$2="Русский", "Прямые затраты", "Direct Costs")</f>
        <v>Direct Costs</v>
      </c>
      <c r="M18" s="170">
        <f>SUM(Бюджет!I25:J25)*1000/$N$4</f>
        <v>0</v>
      </c>
      <c r="N18" s="28" t="e">
        <f t="shared" si="7"/>
        <v>#DIV/0!</v>
      </c>
    </row>
    <row r="19" spans="3:15" x14ac:dyDescent="0.35">
      <c r="C19" s="4" t="str">
        <f>IF($B$2="Русский", "Текущий сценарий (без ЮСАИД)", "Existing scenario (w/out USAID)")</f>
        <v>Existing scenario (w/out USAID)</v>
      </c>
      <c r="D19" s="141"/>
      <c r="E19" s="5"/>
      <c r="F19" s="6"/>
      <c r="G19" s="5"/>
      <c r="H19" s="6"/>
      <c r="I19" s="5"/>
      <c r="J19" s="7">
        <f>SUM(E19:I19)</f>
        <v>0</v>
      </c>
      <c r="L19" s="27" t="str">
        <f>IF($B$2="Русский", "Косвенные издержки", "Indirect Costs")</f>
        <v>Indirect Costs</v>
      </c>
      <c r="M19" s="170">
        <f>SUM(Бюджет!I28:J28)*1000/$N$4</f>
        <v>0</v>
      </c>
      <c r="N19" s="28" t="e">
        <f t="shared" si="7"/>
        <v>#DIV/0!</v>
      </c>
    </row>
    <row r="20" spans="3:15" x14ac:dyDescent="0.35">
      <c r="C20" s="4" t="str">
        <f>IF($B$2="Русский", "Прогнозируемый (с USAID)", "Projected (with USAID)")</f>
        <v>Projected (with USAID)</v>
      </c>
      <c r="D20" s="141"/>
      <c r="E20" s="5">
        <f>ОПУ!E19</f>
        <v>0</v>
      </c>
      <c r="F20" s="6">
        <f>ОПУ!F19</f>
        <v>0</v>
      </c>
      <c r="G20" s="5">
        <f>ОПУ!G19</f>
        <v>0</v>
      </c>
      <c r="H20" s="6">
        <f>ОПУ!H19</f>
        <v>0</v>
      </c>
      <c r="I20" s="5">
        <f>ОПУ!I19</f>
        <v>0</v>
      </c>
      <c r="J20" s="7">
        <f>SUM(E20:I20)</f>
        <v>0</v>
      </c>
      <c r="L20" s="27" t="str">
        <f>IF($B$2="Русский", "Другие", "Other")</f>
        <v>Other</v>
      </c>
      <c r="M20" s="170">
        <f>SUM(Бюджет!I31:J31)*1000/$N$4</f>
        <v>0</v>
      </c>
      <c r="N20" s="28" t="e">
        <f t="shared" si="7"/>
        <v>#DIV/0!</v>
      </c>
    </row>
    <row r="21" spans="3:15" x14ac:dyDescent="0.35">
      <c r="C21" s="40" t="str">
        <f>IF($B$2="Русский", "Дополнительные", "Incremental")</f>
        <v>Incremental</v>
      </c>
      <c r="D21" s="144"/>
      <c r="E21" s="41">
        <f>E20-E19</f>
        <v>0</v>
      </c>
      <c r="F21" s="41">
        <f t="shared" ref="F21" si="13">F20-F19</f>
        <v>0</v>
      </c>
      <c r="G21" s="41">
        <f t="shared" ref="G21" si="14">G20-G19</f>
        <v>0</v>
      </c>
      <c r="H21" s="41">
        <f t="shared" ref="H21" si="15">H20-H19</f>
        <v>0</v>
      </c>
      <c r="I21" s="41">
        <f t="shared" ref="I21" si="16">I20-I19</f>
        <v>0</v>
      </c>
      <c r="J21" s="42">
        <f t="shared" ref="J21" si="17">J20-J19</f>
        <v>0</v>
      </c>
      <c r="L21" s="34" t="str">
        <f>IF($B$2="Русский", "Итого", "Total")</f>
        <v>Total</v>
      </c>
      <c r="M21" s="29">
        <f>SUM(M14:M20)</f>
        <v>0</v>
      </c>
      <c r="N21" s="30">
        <f>SUM(M21)</f>
        <v>0</v>
      </c>
    </row>
    <row r="22" spans="3:15" x14ac:dyDescent="0.35">
      <c r="C22" s="8" t="str">
        <f>IF($B$2="Русский", "Увеличение (%)", "Increase (%)")</f>
        <v>Increase (%)</v>
      </c>
      <c r="D22" s="142"/>
      <c r="E22" s="9" t="e">
        <f>E21/E19</f>
        <v>#DIV/0!</v>
      </c>
      <c r="F22" s="10" t="e">
        <f t="shared" ref="F22" si="18">F21/F19</f>
        <v>#DIV/0!</v>
      </c>
      <c r="G22" s="9" t="e">
        <f t="shared" ref="G22" si="19">G21/G19</f>
        <v>#DIV/0!</v>
      </c>
      <c r="H22" s="10" t="e">
        <f t="shared" ref="H22" si="20">H21/H19</f>
        <v>#DIV/0!</v>
      </c>
      <c r="I22" s="9" t="e">
        <f t="shared" ref="I22" si="21">I21/I19</f>
        <v>#DIV/0!</v>
      </c>
      <c r="J22" s="11" t="e">
        <f t="shared" ref="J22" si="22">J21/J19</f>
        <v>#DIV/0!</v>
      </c>
    </row>
    <row r="23" spans="3:15" x14ac:dyDescent="0.35">
      <c r="E23" s="1"/>
      <c r="F23" s="1"/>
      <c r="G23" s="1"/>
      <c r="H23" s="1"/>
      <c r="I23" s="1"/>
    </row>
    <row r="24" spans="3:15" x14ac:dyDescent="0.35">
      <c r="C24" s="47" t="str">
        <f>IF($B$2="Русский", "АКТИВЫ", "ASSETS")</f>
        <v>ASSETS</v>
      </c>
      <c r="D24" s="149" t="str">
        <f>IF($B$2="Русский", "Год 0", "Year 0")</f>
        <v>Year 0</v>
      </c>
      <c r="E24" s="48" t="str">
        <f>IF($B$2="Русский", "Год 1", "Year 1")</f>
        <v>Year 1</v>
      </c>
      <c r="F24" s="48" t="str">
        <f>IF($B$2="Русский", "Год 2", "Year 2")</f>
        <v>Year 2</v>
      </c>
      <c r="G24" s="48" t="str">
        <f>IF($B$2="Русский", "Год 3", "Year 3")</f>
        <v>Year 3</v>
      </c>
      <c r="H24" s="48" t="str">
        <f>IF($B$2="Русский", "Год 4", "Year 4")</f>
        <v>Year 4</v>
      </c>
      <c r="I24" s="48" t="str">
        <f>IF($B$2="Русский", "Год 5", "Year 5")</f>
        <v>Year 5</v>
      </c>
      <c r="J24" s="49" t="str">
        <f>IF($B$2="Русский", "Итого (Г1-Г5)", "Total (Y1-Y5)")</f>
        <v>Total (Y1-Y5)</v>
      </c>
      <c r="L24" s="24" t="str">
        <f>IF($B$2="Русский", "ВЛИЯНИЕ", "IMPACT")</f>
        <v>IMPACT</v>
      </c>
      <c r="M24" s="25" t="str">
        <f>IF($B$2="Русский", "Год 1", "Year 1")</f>
        <v>Year 1</v>
      </c>
      <c r="N24" s="25" t="str">
        <f>IF($B$2="Русский", "Годы 1-3", "Years 1-3")</f>
        <v>Years 1-3</v>
      </c>
      <c r="O24" s="26" t="str">
        <f>IF($B$2="Русский", "Годы 1-5", "Years 1-5")</f>
        <v>Years 1-5</v>
      </c>
    </row>
    <row r="25" spans="3:15" x14ac:dyDescent="0.35">
      <c r="C25" s="4" t="str">
        <f>IF($B$2="Русский", "Текущий сценарий (без ЮСАИД)", "Existing scenario (w/out USAID)")</f>
        <v>Existing scenario (w/out USAID)</v>
      </c>
      <c r="D25" s="141"/>
      <c r="E25" s="5"/>
      <c r="F25" s="6"/>
      <c r="G25" s="5"/>
      <c r="H25" s="6"/>
      <c r="I25" s="5"/>
      <c r="J25" s="7">
        <f>SUM(E25:I25)</f>
        <v>0</v>
      </c>
      <c r="L25" s="21" t="str">
        <f>IF($B$2="Русский", "Продажи/Вклад USAID", "Sales/USAID Contribution")</f>
        <v>Sales/USAID Contribution</v>
      </c>
      <c r="M25" s="35" t="e">
        <f>E9*SUM(N9:N10)</f>
        <v>#DIV/0!</v>
      </c>
      <c r="N25" s="35" t="e">
        <f>SUM(E9:G9)*SUM(N9:N10)</f>
        <v>#DIV/0!</v>
      </c>
      <c r="O25" s="189" t="e">
        <f>J9*SUM(N9:N10)</f>
        <v>#DIV/0!</v>
      </c>
    </row>
    <row r="26" spans="3:15" x14ac:dyDescent="0.35">
      <c r="C26" s="4" t="str">
        <f>IF($B$2="Русский", "Прогнозируемый (с USAID)", "Projected (with USAID)")</f>
        <v>Projected (with USAID)</v>
      </c>
      <c r="D26" s="141"/>
      <c r="E26" s="5">
        <f>БО!E24</f>
        <v>0</v>
      </c>
      <c r="F26" s="6">
        <f>БО!F24</f>
        <v>0</v>
      </c>
      <c r="G26" s="5">
        <f>БО!G24</f>
        <v>0</v>
      </c>
      <c r="H26" s="6">
        <f>БО!H24</f>
        <v>0</v>
      </c>
      <c r="I26" s="5">
        <f>БО!I24</f>
        <v>0</v>
      </c>
      <c r="J26" s="7">
        <f>SUM(E26:I26)</f>
        <v>0</v>
      </c>
      <c r="L26" s="36" t="str">
        <f>IF($B$2="Русский", "Рабочие места/Вклад USAID", "Jobs/USAID Contribution")</f>
        <v>Jobs/USAID Contribution</v>
      </c>
      <c r="M26" s="37" t="e">
        <f>E15*SUM(N9:N10)</f>
        <v>#DIV/0!</v>
      </c>
      <c r="N26" s="37" t="e">
        <f>SUM(E15:G15)*SUM(N9:N10)</f>
        <v>#DIV/0!</v>
      </c>
      <c r="O26" s="38" t="e">
        <f>J15*SUM(N9:N10)</f>
        <v>#DIV/0!</v>
      </c>
    </row>
    <row r="27" spans="3:15" x14ac:dyDescent="0.35">
      <c r="C27" s="31" t="str">
        <f>IF($B$2="Русский", "Дополнительные", "Incremental")</f>
        <v>Incremental</v>
      </c>
      <c r="D27" s="145"/>
      <c r="E27" s="32">
        <f>E26-E25</f>
        <v>0</v>
      </c>
      <c r="F27" s="32">
        <f t="shared" ref="F27" si="23">F26-F25</f>
        <v>0</v>
      </c>
      <c r="G27" s="32">
        <f t="shared" ref="G27" si="24">G26-G25</f>
        <v>0</v>
      </c>
      <c r="H27" s="32">
        <f t="shared" ref="H27" si="25">H26-H25</f>
        <v>0</v>
      </c>
      <c r="I27" s="32">
        <f t="shared" ref="I27" si="26">I26-I25</f>
        <v>0</v>
      </c>
      <c r="J27" s="43">
        <f t="shared" ref="J27" si="27">J26-J25</f>
        <v>0</v>
      </c>
      <c r="L27" t="s">
        <v>176</v>
      </c>
    </row>
    <row r="28" spans="3:15" x14ac:dyDescent="0.35">
      <c r="C28" s="8" t="str">
        <f>IF($B$2="Русский", "Увеличение (%)", "Increase (%)")</f>
        <v>Increase (%)</v>
      </c>
      <c r="D28" s="142"/>
      <c r="E28" s="9" t="e">
        <f>E27/E25</f>
        <v>#DIV/0!</v>
      </c>
      <c r="F28" s="10" t="e">
        <f t="shared" ref="F28" si="28">F27/F25</f>
        <v>#DIV/0!</v>
      </c>
      <c r="G28" s="9" t="e">
        <f t="shared" ref="G28" si="29">G27/G25</f>
        <v>#DIV/0!</v>
      </c>
      <c r="H28" s="10" t="e">
        <f t="shared" ref="H28" si="30">H27/H25</f>
        <v>#DIV/0!</v>
      </c>
      <c r="I28" s="9" t="e">
        <f t="shared" ref="I28" si="31">I27/I25</f>
        <v>#DIV/0!</v>
      </c>
      <c r="J28" s="11" t="e">
        <f t="shared" ref="J28" si="32">J27/J25</f>
        <v>#DIV/0!</v>
      </c>
    </row>
    <row r="29" spans="3:15" x14ac:dyDescent="0.35">
      <c r="E29" s="1"/>
      <c r="F29" s="1"/>
      <c r="G29" s="1"/>
      <c r="H29" s="1"/>
      <c r="I29" s="1"/>
    </row>
    <row r="30" spans="3:15" x14ac:dyDescent="0.35">
      <c r="C30" s="53" t="str">
        <f>IF($B$2="Русский", "КАПИТАЛ", "EQUITY")</f>
        <v>EQUITY</v>
      </c>
      <c r="D30" s="150" t="str">
        <f>IF($B$2="Русский", "Год 0", "Year 0")</f>
        <v>Year 0</v>
      </c>
      <c r="E30" s="54" t="str">
        <f>IF($B$2="Русский", "Год 1", "Year 1")</f>
        <v>Year 1</v>
      </c>
      <c r="F30" s="54" t="str">
        <f>IF($B$2="Русский", "Год 2", "Year 2")</f>
        <v>Year 2</v>
      </c>
      <c r="G30" s="54" t="str">
        <f>IF($B$2="Русский", "Год 3", "Year 3")</f>
        <v>Year 3</v>
      </c>
      <c r="H30" s="54" t="str">
        <f>IF($B$2="Русский", "Год 4", "Year 4")</f>
        <v>Year 4</v>
      </c>
      <c r="I30" s="54" t="str">
        <f>IF($B$2="Русский", "Год 5", "Year 5")</f>
        <v>Year 5</v>
      </c>
      <c r="J30" s="55" t="str">
        <f>IF($B$2="Русский", "Итого (Г1-Г5)", "Total (Y1-Y5)")</f>
        <v>Total (Y1-Y5)</v>
      </c>
    </row>
    <row r="31" spans="3:15" x14ac:dyDescent="0.35">
      <c r="C31" s="4" t="str">
        <f>IF($B$2="Русский", "Текущий сценарий (без ЮСАИД)", "Existing scenario (w/out USAID)")</f>
        <v>Existing scenario (w/out USAID)</v>
      </c>
      <c r="D31" s="141"/>
      <c r="E31" s="5"/>
      <c r="F31" s="6"/>
      <c r="G31" s="5"/>
      <c r="H31" s="6"/>
      <c r="I31" s="5"/>
      <c r="J31" s="7">
        <f>SUM(E31:I31)</f>
        <v>0</v>
      </c>
    </row>
    <row r="32" spans="3:15" x14ac:dyDescent="0.35">
      <c r="C32" s="4" t="str">
        <f>IF($B$2="Русский", "Прогнозируемый (с USAID)", "Projected (with USAID)")</f>
        <v>Projected (with USAID)</v>
      </c>
      <c r="D32" s="141"/>
      <c r="E32" s="5">
        <f>БО!E41</f>
        <v>0</v>
      </c>
      <c r="F32" s="6">
        <f>БО!F41</f>
        <v>0</v>
      </c>
      <c r="G32" s="5">
        <f>БО!G41</f>
        <v>0</v>
      </c>
      <c r="H32" s="6">
        <f>БО!H41</f>
        <v>0</v>
      </c>
      <c r="I32" s="5">
        <f>БО!I41</f>
        <v>0</v>
      </c>
      <c r="J32" s="7">
        <f>SUM(E32:I32)</f>
        <v>0</v>
      </c>
    </row>
    <row r="33" spans="3:12" x14ac:dyDescent="0.35">
      <c r="C33" s="44" t="str">
        <f>IF($B$2="Русский", "Дополнительные", "Incremental")</f>
        <v>Incremental</v>
      </c>
      <c r="D33" s="146"/>
      <c r="E33" s="45">
        <f>E32-E31</f>
        <v>0</v>
      </c>
      <c r="F33" s="45">
        <f t="shared" ref="F33" si="33">F32-F31</f>
        <v>0</v>
      </c>
      <c r="G33" s="45">
        <f t="shared" ref="G33" si="34">G32-G31</f>
        <v>0</v>
      </c>
      <c r="H33" s="45">
        <f t="shared" ref="H33" si="35">H32-H31</f>
        <v>0</v>
      </c>
      <c r="I33" s="45">
        <f t="shared" ref="I33" si="36">I32-I31</f>
        <v>0</v>
      </c>
      <c r="J33" s="46">
        <f t="shared" ref="J33" si="37">J32-J31</f>
        <v>0</v>
      </c>
      <c r="L33" t="s">
        <v>176</v>
      </c>
    </row>
    <row r="34" spans="3:12" x14ac:dyDescent="0.35">
      <c r="C34" s="8" t="str">
        <f>IF($B$2="Русский", "Увеличение (%)", "Increase (%)")</f>
        <v>Increase (%)</v>
      </c>
      <c r="D34" s="142"/>
      <c r="E34" s="9" t="e">
        <f>E33/E31</f>
        <v>#DIV/0!</v>
      </c>
      <c r="F34" s="10" t="e">
        <f t="shared" ref="F34" si="38">F33/F31</f>
        <v>#DIV/0!</v>
      </c>
      <c r="G34" s="9" t="e">
        <f t="shared" ref="G34" si="39">G33/G31</f>
        <v>#DIV/0!</v>
      </c>
      <c r="H34" s="10" t="e">
        <f t="shared" ref="H34" si="40">H33/H31</f>
        <v>#DIV/0!</v>
      </c>
      <c r="I34" s="9" t="e">
        <f t="shared" ref="I34" si="41">I33/I31</f>
        <v>#DIV/0!</v>
      </c>
      <c r="J34" s="11" t="e">
        <f t="shared" ref="J34" si="42">J33/J31</f>
        <v>#DIV/0!</v>
      </c>
    </row>
  </sheetData>
  <dataValidations count="1">
    <dataValidation type="list" allowBlank="1" showInputMessage="1" showErrorMessage="1" promptTitle="English" sqref="B2" xr:uid="{455AFB89-8DC4-4FBB-BC30-ECD4D626D894}">
      <formula1>Language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84807E2C8A5A4091FF5494342E8402" ma:contentTypeVersion="12" ma:contentTypeDescription="Create a new document." ma:contentTypeScope="" ma:versionID="036e2ed73d3fbd04159748527c99aff5">
  <xsd:schema xmlns:xsd="http://www.w3.org/2001/XMLSchema" xmlns:xs="http://www.w3.org/2001/XMLSchema" xmlns:p="http://schemas.microsoft.com/office/2006/metadata/properties" xmlns:ns2="c6820af0-6f46-439b-80a7-1ddc36d3c082" xmlns:ns3="52f48275-6266-4418-bc10-5ad6e2408db5" targetNamespace="http://schemas.microsoft.com/office/2006/metadata/properties" ma:root="true" ma:fieldsID="faf1f5d28348865dd8435be92b45312b" ns2:_="" ns3:_="">
    <xsd:import namespace="c6820af0-6f46-439b-80a7-1ddc36d3c082"/>
    <xsd:import namespace="52f48275-6266-4418-bc10-5ad6e2408d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820af0-6f46-439b-80a7-1ddc36d3c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f48275-6266-4418-bc10-5ad6e2408d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B78B7D-72F6-494C-9F0B-1CCC3E2B9996}">
  <ds:schemaRefs>
    <ds:schemaRef ds:uri="http://schemas.microsoft.com/sharepoint/v3/contenttype/forms"/>
  </ds:schemaRefs>
</ds:datastoreItem>
</file>

<file path=customXml/itemProps2.xml><?xml version="1.0" encoding="utf-8"?>
<ds:datastoreItem xmlns:ds="http://schemas.openxmlformats.org/officeDocument/2006/customXml" ds:itemID="{C75C80A7-4FB2-4C60-8CD5-73E4E1D0E5BE}">
  <ds:schemaRefs>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c6820af0-6f46-439b-80a7-1ddc36d3c082"/>
    <ds:schemaRef ds:uri="http://schemas.openxmlformats.org/package/2006/metadata/core-properties"/>
    <ds:schemaRef ds:uri="52f48275-6266-4418-bc10-5ad6e2408db5"/>
    <ds:schemaRef ds:uri="http://www.w3.org/XML/1998/namespace"/>
    <ds:schemaRef ds:uri="http://purl.org/dc/dcmitype/"/>
  </ds:schemaRefs>
</ds:datastoreItem>
</file>

<file path=customXml/itemProps3.xml><?xml version="1.0" encoding="utf-8"?>
<ds:datastoreItem xmlns:ds="http://schemas.openxmlformats.org/officeDocument/2006/customXml" ds:itemID="{0A45EB6D-F20B-494A-8BC8-9595A6DB9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820af0-6f46-439b-80a7-1ddc36d3c082"/>
    <ds:schemaRef ds:uri="52f48275-6266-4418-bc10-5ad6e2408d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Guidance</vt:lpstr>
      <vt:lpstr>Inputs Outputs Outcomes</vt:lpstr>
      <vt:lpstr>Бюджет</vt:lpstr>
      <vt:lpstr>ОДДС</vt:lpstr>
      <vt:lpstr>ОПУ</vt:lpstr>
      <vt:lpstr>БО</vt:lpstr>
      <vt:lpstr>Summary</vt:lpstr>
      <vt:lpstr>Currency</vt:lpstr>
      <vt:lpstr>Language</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Hamlin</dc:creator>
  <cp:lastModifiedBy>Jypar Bekeeva</cp:lastModifiedBy>
  <cp:lastPrinted>2019-08-05T09:03:31Z</cp:lastPrinted>
  <dcterms:created xsi:type="dcterms:W3CDTF">2016-09-19T07:58:36Z</dcterms:created>
  <dcterms:modified xsi:type="dcterms:W3CDTF">2020-12-10T04:33:20Z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0x0101003C84807E2C8A5A4091FF5494342E8402</vt:lpwstr>
  </property>
</Properties>
</file>